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2" activeTab="0"/>
  </bookViews>
  <sheets>
    <sheet name="титульный лист" sheetId="1" r:id="rId1"/>
    <sheet name="Листы1-3" sheetId="2" r:id="rId2"/>
    <sheet name="Листы4-5" sheetId="3" r:id="rId3"/>
    <sheet name="Листы6-8" sheetId="4" r:id="rId4"/>
    <sheet name="Прилож 2" sheetId="5" r:id="rId5"/>
    <sheet name="Прилож 3 " sheetId="6" r:id="rId6"/>
    <sheet name="Прилож 4" sheetId="7" r:id="rId7"/>
    <sheet name="Прилож 5" sheetId="8" r:id="rId8"/>
    <sheet name="Прилож 6" sheetId="9" r:id="rId9"/>
    <sheet name="Прилож 7(340)" sheetId="10" r:id="rId10"/>
    <sheet name="Прилож 8(221)" sheetId="11" r:id="rId11"/>
    <sheet name="Прилож 9(223)" sheetId="12" r:id="rId12"/>
    <sheet name="Прилож 10(225)" sheetId="13" r:id="rId13"/>
    <sheet name="Прилож 11(226)" sheetId="14" r:id="rId14"/>
    <sheet name="Прилож 12(310)" sheetId="15" r:id="rId15"/>
    <sheet name="111 для ГБОУ 20" sheetId="16" state="hidden" r:id="rId16"/>
    <sheet name="111 для ГБОУ 21" sheetId="17" state="hidden" r:id="rId17"/>
    <sheet name="111 для ГБОУ 22" sheetId="18" state="hidden" r:id="rId18"/>
    <sheet name="111  Фармцентр" sheetId="19" state="hidden" r:id="rId19"/>
  </sheets>
  <externalReferences>
    <externalReference r:id="rId22"/>
  </externalReferences>
  <definedNames>
    <definedName name="_xlnm.Print_Titles" localSheetId="1">'Листы1-3'!$12:$18</definedName>
    <definedName name="_xlnm.Print_Titles" localSheetId="2">'Листы4-5'!$3:$8</definedName>
    <definedName name="_xlnm.Print_Area" localSheetId="2">'Листы4-5'!$A$1:$I$59</definedName>
  </definedNames>
  <calcPr fullCalcOnLoad="1"/>
</workbook>
</file>

<file path=xl/comments1.xml><?xml version="1.0" encoding="utf-8"?>
<comments xmlns="http://schemas.openxmlformats.org/spreadsheetml/2006/main">
  <authors>
    <author>Лорена Маратовна Каламазова</author>
  </authors>
  <commentList>
    <comment ref="CE35" authorId="0">
      <text>
        <r>
          <rPr>
            <b/>
            <sz val="9"/>
            <rFont val="Tahoma"/>
            <family val="2"/>
          </rPr>
          <t>Ильина Ирина Геннадьевна:</t>
        </r>
        <r>
          <rPr>
            <sz val="9"/>
            <rFont val="Tahoma"/>
            <family val="2"/>
          </rPr>
          <t xml:space="preserve">
</t>
        </r>
        <r>
          <rPr>
            <b/>
            <u val="single"/>
            <sz val="9"/>
            <rFont val="Tahoma"/>
            <family val="2"/>
          </rPr>
          <t xml:space="preserve">На экземпляре Департамента: </t>
        </r>
        <r>
          <rPr>
            <sz val="9"/>
            <rFont val="Tahoma"/>
            <family val="2"/>
          </rPr>
          <t xml:space="preserve">визируют сотрудники Департамента, курирующие направление деятельности.
</t>
        </r>
        <r>
          <rPr>
            <b/>
            <sz val="9"/>
            <rFont val="Tahoma"/>
            <family val="2"/>
          </rPr>
          <t>ПДД</t>
        </r>
        <r>
          <rPr>
            <sz val="9"/>
            <rFont val="Tahoma"/>
            <family val="2"/>
          </rPr>
          <t xml:space="preserve">- Козлова О.А. (230 каб.); </t>
        </r>
        <r>
          <rPr>
            <b/>
            <sz val="9"/>
            <rFont val="Tahoma"/>
            <family val="2"/>
          </rPr>
          <t>ОМС</t>
        </r>
        <r>
          <rPr>
            <sz val="9"/>
            <rFont val="Tahoma"/>
            <family val="2"/>
          </rPr>
          <t xml:space="preserve">- </t>
        </r>
        <r>
          <rPr>
            <b/>
            <sz val="9"/>
            <rFont val="Tahoma"/>
            <family val="2"/>
          </rPr>
          <t>Бояршинова Е.Е.</t>
        </r>
        <r>
          <rPr>
            <sz val="9"/>
            <rFont val="Tahoma"/>
            <family val="2"/>
          </rPr>
          <t xml:space="preserve"> (630 каб.); </t>
        </r>
        <r>
          <rPr>
            <b/>
            <sz val="9"/>
            <rFont val="Tahoma"/>
            <family val="2"/>
          </rPr>
          <t>ГЗ</t>
        </r>
        <r>
          <rPr>
            <sz val="9"/>
            <rFont val="Tahoma"/>
            <family val="2"/>
          </rPr>
          <t xml:space="preserve">- Ильина И.Г. (226 каб.) При себе иметь расчеты-обоснования.
</t>
        </r>
        <r>
          <rPr>
            <b/>
            <sz val="9"/>
            <rFont val="Tahoma"/>
            <family val="2"/>
          </rPr>
          <t>ВАЖНО!При внесении изменений: на каждую измененную цифру дохода (поступления) при себе иметь "оправдательный" документ!</t>
        </r>
      </text>
    </comment>
  </commentList>
</comments>
</file>

<file path=xl/sharedStrings.xml><?xml version="1.0" encoding="utf-8"?>
<sst xmlns="http://schemas.openxmlformats.org/spreadsheetml/2006/main" count="2289" uniqueCount="1140">
  <si>
    <t>»</t>
  </si>
  <si>
    <t>(подпись)</t>
  </si>
  <si>
    <t>(расшифровка подписи)</t>
  </si>
  <si>
    <t>Раздел 1. Поступления и выплаты</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</si>
  <si>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</si>
  <si>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</si>
  <si>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</si>
  <si>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</si>
  <si>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</si>
  <si>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</si>
  <si>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</si>
  <si>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</si>
  <si>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</si>
  <si>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</si>
  <si>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</si>
  <si>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</si>
  <si>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</si>
  <si>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</si>
  <si>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</si>
  <si>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</si>
  <si>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</si>
  <si>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</si>
  <si>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</si>
  <si>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</si>
  <si>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</si>
  <si>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</si>
  <si>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</si>
  <si>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</si>
  <si>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</si>
  <si>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</si>
  <si>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</si>
  <si>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</si>
  <si>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</si>
  <si>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</si>
  <si>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</si>
  <si>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</si>
  <si>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</si>
  <si>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</si>
  <si>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</si>
  <si>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</si>
  <si>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1900</t>
  </si>
  <si>
    <t>1980</t>
  </si>
  <si>
    <t>1981</t>
  </si>
  <si>
    <t>510</t>
  </si>
  <si>
    <t>Расходы, всего:</t>
  </si>
  <si>
    <t>2000</t>
  </si>
  <si>
    <t>2100</t>
  </si>
  <si>
    <t>2110</t>
  </si>
  <si>
    <t>111</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</si>
  <si>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</si>
  <si>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</si>
  <si>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</si>
  <si>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</si>
  <si>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</si>
  <si>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</si>
  <si>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</si>
  <si>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</si>
  <si>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</si>
  <si>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</si>
  <si>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</si>
  <si>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</si>
  <si>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</si>
  <si>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</si>
  <si>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</si>
  <si>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</si>
  <si>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</si>
  <si>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</si>
  <si>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</si>
  <si>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</si>
  <si>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</si>
  <si>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</si>
  <si>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</si>
  <si>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</si>
  <si>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</si>
  <si>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</si>
  <si>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</si>
  <si>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</si>
  <si>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</si>
  <si>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</si>
  <si>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</si>
  <si>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</si>
  <si>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</si>
  <si>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</si>
  <si>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</si>
  <si>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</si>
  <si>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</si>
  <si>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</si>
  <si>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</si>
  <si>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</si>
  <si>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</si>
  <si>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</si>
  <si>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</si>
  <si>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</si>
  <si>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</si>
  <si>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</si>
  <si>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</si>
  <si>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</si>
  <si>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</si>
  <si>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</si>
  <si>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</si>
  <si>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2500</t>
  </si>
  <si>
    <t>2520</t>
  </si>
  <si>
    <t>831</t>
  </si>
  <si>
    <t>прочие выплаты (кроме выплат на закупку товаров, работ, услуг)</t>
  </si>
  <si>
    <t>2600</t>
  </si>
  <si>
    <t>2610</t>
  </si>
  <si>
    <t>241</t>
  </si>
  <si>
    <t>26200</t>
  </si>
  <si>
    <t>2630</t>
  </si>
  <si>
    <t>243</t>
  </si>
  <si>
    <t>2640</t>
  </si>
  <si>
    <t>244</t>
  </si>
  <si>
    <t>2650</t>
  </si>
  <si>
    <t>400</t>
  </si>
  <si>
    <t>406</t>
  </si>
  <si>
    <t>407</t>
  </si>
  <si>
    <t>3000</t>
  </si>
  <si>
    <t>100</t>
  </si>
  <si>
    <t>3010</t>
  </si>
  <si>
    <t>3020</t>
  </si>
  <si>
    <t>3030</t>
  </si>
  <si>
    <t>4000</t>
  </si>
  <si>
    <t>4010</t>
  </si>
  <si>
    <t>610</t>
  </si>
  <si>
    <t>26000</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</si>
  <si>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</si>
  <si>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</si>
  <si>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</si>
  <si>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</si>
  <si>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</si>
  <si>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</si>
  <si>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</si>
  <si>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</si>
  <si>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</si>
  <si>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</si>
  <si>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</si>
  <si>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</si>
  <si>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</si>
  <si>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</si>
  <si>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</si>
  <si>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</si>
  <si>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</si>
  <si>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</si>
  <si>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</si>
  <si>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</si>
  <si>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</si>
  <si>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</si>
  <si>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</si>
  <si>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</si>
  <si>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</si>
  <si>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</si>
  <si>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</si>
  <si>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</si>
  <si>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</si>
  <si>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</si>
  <si>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</si>
  <si>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</si>
  <si>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</si>
  <si>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</si>
  <si>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</si>
  <si>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</si>
  <si>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</si>
  <si>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</si>
  <si>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</si>
  <si>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</si>
  <si>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</si>
  <si>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</si>
  <si>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</si>
  <si>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</si>
  <si>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</si>
  <si>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</si>
  <si>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</si>
  <si>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</si>
  <si>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</si>
  <si>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</si>
  <si>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</si>
  <si>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</si>
  <si>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</si>
  <si>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</si>
  <si>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</si>
  <si>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</si>
  <si>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в том числе по году начала закупки:</t>
  </si>
  <si>
    <t>26600</t>
  </si>
  <si>
    <t>1200</t>
  </si>
  <si>
    <t>Код строки</t>
  </si>
  <si>
    <t>Главный бухгалтер</t>
  </si>
  <si>
    <t>тел.</t>
  </si>
  <si>
    <t>(наименование учреждения)</t>
  </si>
  <si>
    <t>Итого:</t>
  </si>
  <si>
    <t>…</t>
  </si>
  <si>
    <t>3</t>
  </si>
  <si>
    <t>4</t>
  </si>
  <si>
    <t>5</t>
  </si>
  <si>
    <t>Всего</t>
  </si>
  <si>
    <t>№ п/п</t>
  </si>
  <si>
    <t>Должность, группа должностей</t>
  </si>
  <si>
    <t>Установленная штатная численность, единиц</t>
  </si>
  <si>
    <t xml:space="preserve">Дополнительные выплаты, тыс. руб. *) </t>
  </si>
  <si>
    <t>Увеличение ФОТ, тыс. руб.  **)</t>
  </si>
  <si>
    <t>Фонд оплаты труда в год (без начислений), тыс. руб.</t>
  </si>
  <si>
    <t xml:space="preserve">                в том числе: </t>
  </si>
  <si>
    <t>по должностному окладу</t>
  </si>
  <si>
    <t>по выплатам компенсационного характера</t>
  </si>
  <si>
    <t>по выплатам стимулирующего характера</t>
  </si>
  <si>
    <t>10 = гр.4 х12+ гр.8+гр.9</t>
  </si>
  <si>
    <t>Прочий персонал (служащие и рабочие)</t>
  </si>
  <si>
    <t xml:space="preserve"> *  на оплату лиц, замещающих уходящих в отпуск  работников, за работу в ночное время, за работу в выходные и праздничные дни и т.д.</t>
  </si>
  <si>
    <t>Руководитель финансово-экономической службы</t>
  </si>
  <si>
    <t>Количество педагогических часов на год</t>
  </si>
  <si>
    <t>3.1</t>
  </si>
  <si>
    <t>Руководитель учреждения, заместители руководителя</t>
  </si>
  <si>
    <t>2</t>
  </si>
  <si>
    <t>Заместитель руководителя по экономическим вопросам, главный бухгалтер</t>
  </si>
  <si>
    <t>Руководители структурных подразделений (зав. отделением, зав. отделом)</t>
  </si>
  <si>
    <t>Педагогические работники</t>
  </si>
  <si>
    <t>Преподаватели (списочного состава)</t>
  </si>
  <si>
    <t>6</t>
  </si>
  <si>
    <t>Преподаватели (внешние совместители)</t>
  </si>
  <si>
    <t>7</t>
  </si>
  <si>
    <t>Учебно-вспомогательный и обслуживающий персонал</t>
  </si>
  <si>
    <t>_____________</t>
  </si>
  <si>
    <t>__________________________</t>
  </si>
  <si>
    <t>________________________</t>
  </si>
  <si>
    <t>Директор, заместители директора, главный бухгалтер</t>
  </si>
  <si>
    <t>Руководители структурных подразделений (начальники отделов, заведующие складом)</t>
  </si>
  <si>
    <t xml:space="preserve"> *  На оплату лиц, замещающих уходящих в отпуск  работников, за работу в ночное время, за работу в выходные и праздничные дни и т.д.</t>
  </si>
  <si>
    <t>*</t>
  </si>
  <si>
    <t>ИТОГО:</t>
  </si>
  <si>
    <t>111 ВР</t>
  </si>
  <si>
    <t>Фонд оплаты труда  по тарификации (штатному расписанию) на 1 месяц, тыс.руб.</t>
  </si>
  <si>
    <t>КФО2</t>
  </si>
  <si>
    <t>КФО4</t>
  </si>
  <si>
    <t>КФО5</t>
  </si>
  <si>
    <t>Государственное задание:</t>
  </si>
  <si>
    <t>Предпринимательская и иная приносящая доход деятельность:</t>
  </si>
  <si>
    <t>предпринимательская и иная приносящая доход деятельность</t>
  </si>
  <si>
    <t>8</t>
  </si>
  <si>
    <t>Субсидии на иные цели:</t>
  </si>
  <si>
    <t>Среднемесячная з/плата на 1 штатную должность, руб.</t>
  </si>
  <si>
    <r>
      <t>Выплаты, уменьшающие доход, всего</t>
    </r>
    <r>
      <rPr>
        <b/>
        <vertAlign val="superscript"/>
        <sz val="9"/>
        <rFont val="Times New Roman"/>
        <family val="1"/>
      </rPr>
      <t>8</t>
    </r>
  </si>
  <si>
    <r>
      <t>Прочие выплаты, всего</t>
    </r>
    <r>
      <rPr>
        <b/>
        <vertAlign val="superscript"/>
        <sz val="9"/>
        <rFont val="Times New Roman"/>
        <family val="1"/>
      </rPr>
      <t>9</t>
    </r>
  </si>
  <si>
    <r>
      <t>расходы на закупку товаров, работ, услуг, всего</t>
    </r>
    <r>
      <rPr>
        <b/>
        <vertAlign val="superscript"/>
        <sz val="9"/>
        <rFont val="Times New Roman"/>
        <family val="1"/>
      </rPr>
      <t>7</t>
    </r>
  </si>
  <si>
    <r>
      <t>и Федерального закона № 223-ФЗ</t>
    </r>
    <r>
      <rPr>
        <vertAlign val="superscript"/>
        <sz val="9"/>
        <rFont val="Times New Roman"/>
        <family val="1"/>
      </rPr>
      <t>12</t>
    </r>
  </si>
  <si>
    <r>
      <t>том требований Федерального закона № 44-ФЗ и Федерального закона № 223-ФЗ</t>
    </r>
    <r>
      <rPr>
        <vertAlign val="superscript"/>
        <sz val="9"/>
        <rFont val="Times New Roman"/>
        <family val="1"/>
      </rPr>
      <t>13</t>
    </r>
  </si>
  <si>
    <r>
      <t>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</si>
  <si>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</si>
  <si>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</si>
  <si>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t xml:space="preserve">                             Расчеты (обоснования) расходов фонда оплаты труда (для образовательных учреждений) на   2022 год</t>
  </si>
  <si>
    <t xml:space="preserve">                             Расчеты (обоснования) расходов фонда оплаты труда (для образовательных учреждений) на  2021 год</t>
  </si>
  <si>
    <t xml:space="preserve">                             Расчеты (обоснования) расходов фонда оплаты труда (для образовательных учреждений) на    2020 год</t>
  </si>
  <si>
    <t>Расчеты (обоснования) расходов фонда оплаты труда (для фармацевтических организаций)    на 2020 год</t>
  </si>
  <si>
    <t>таблица 16/1</t>
  </si>
  <si>
    <t>таблица 16/2</t>
  </si>
  <si>
    <t>Расчеты (обоснования) расходов фонда оплаты труда (для фармацевтических организаций)    на 2021 год</t>
  </si>
  <si>
    <t>таблица 16/3</t>
  </si>
  <si>
    <t>таблица 15/3</t>
  </si>
  <si>
    <t>таблица 15/2</t>
  </si>
  <si>
    <t>таблица 15/1</t>
  </si>
  <si>
    <t>Утверждаю</t>
  </si>
  <si>
    <t>(наименование должности уполномоченного лица)</t>
  </si>
  <si>
    <t>(наименование органа — учредителя (учреждения))</t>
  </si>
  <si>
    <t>«</t>
  </si>
  <si>
    <t xml:space="preserve"> г.</t>
  </si>
  <si>
    <t>(на 20</t>
  </si>
  <si>
    <t>г. и плановый период 20</t>
  </si>
  <si>
    <t>и 20</t>
  </si>
  <si>
    <r>
      <t>годов</t>
    </r>
    <r>
      <rPr>
        <b/>
        <vertAlign val="superscript"/>
        <sz val="12"/>
        <rFont val="Times New Roman"/>
        <family val="1"/>
      </rPr>
      <t>1</t>
    </r>
    <r>
      <rPr>
        <b/>
        <sz val="12"/>
        <rFont val="Times New Roman"/>
        <family val="1"/>
      </rPr>
      <t>)</t>
    </r>
  </si>
  <si>
    <t>от «</t>
  </si>
  <si>
    <r>
      <t xml:space="preserve"> г.</t>
    </r>
    <r>
      <rPr>
        <vertAlign val="superscript"/>
        <sz val="10"/>
        <rFont val="Times New Roman"/>
        <family val="1"/>
      </rPr>
      <t>2</t>
    </r>
  </si>
  <si>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</si>
  <si>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</si>
  <si>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</si>
  <si>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</si>
  <si>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</si>
  <si>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</si>
  <si>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</si>
  <si>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</si>
  <si>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</si>
  <si>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</si>
  <si>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</si>
  <si>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1410</t>
  </si>
  <si>
    <t>26421.1</t>
  </si>
  <si>
    <t>133</t>
  </si>
  <si>
    <t>иные выплаты населению</t>
  </si>
  <si>
    <t>гранты, предоставляемые автономным учреждениям</t>
  </si>
  <si>
    <t>2440</t>
  </si>
  <si>
    <t>2450</t>
  </si>
  <si>
    <t>2460</t>
  </si>
  <si>
    <t>в том числе: в соответствии с Федеральным законом № 44-ФЗ</t>
  </si>
  <si>
    <t>26310</t>
  </si>
  <si>
    <t>26310.1</t>
  </si>
  <si>
    <t>26320</t>
  </si>
  <si>
    <t>26430.1</t>
  </si>
  <si>
    <t>26451.10</t>
  </si>
  <si>
    <t>2180</t>
  </si>
  <si>
    <t>Арендная плата за пользование имуществом (за исключением земельных участков и других обособленных природных объектов)</t>
  </si>
  <si>
    <t>1230</t>
  </si>
  <si>
    <t>1240</t>
  </si>
  <si>
    <t>1250</t>
  </si>
  <si>
    <t>1910</t>
  </si>
  <si>
    <t>600</t>
  </si>
  <si>
    <t>247</t>
  </si>
  <si>
    <t>гранты,гранты в форме субсидий, пожертвования, иные безвозмездные перечисления от физических и юридических лиц, в том числе иностранных организаций</t>
  </si>
  <si>
    <r>
      <t xml:space="preserve">доходы от операций с </t>
    </r>
    <r>
      <rPr>
        <b/>
        <sz val="9"/>
        <rFont val="Times New Roman"/>
        <family val="1"/>
      </rPr>
      <t>финансовыми</t>
    </r>
    <r>
      <rPr>
        <sz val="9"/>
        <rFont val="Times New Roman"/>
        <family val="1"/>
      </rPr>
      <t xml:space="preserve"> активами, всего</t>
    </r>
  </si>
  <si>
    <t>2181</t>
  </si>
  <si>
    <t>2182</t>
  </si>
  <si>
    <t>613</t>
  </si>
  <si>
    <t>623</t>
  </si>
  <si>
    <t>634</t>
  </si>
  <si>
    <t>расходы на выплаты военннослужащим и сотрудникам, имеющим специальные звания, зависящие от размера денежного довольствия</t>
  </si>
  <si>
    <r>
      <t xml:space="preserve">Код по бюджетной классификации Российской Федерации </t>
    </r>
    <r>
      <rPr>
        <vertAlign val="superscript"/>
        <sz val="9"/>
        <rFont val="Times New Roman"/>
        <family val="1"/>
      </rPr>
      <t>3</t>
    </r>
  </si>
  <si>
    <r>
      <t>Аналитический код</t>
    </r>
    <r>
      <rPr>
        <vertAlign val="superscript"/>
        <sz val="9"/>
        <rFont val="Times New Roman"/>
        <family val="1"/>
      </rPr>
      <t xml:space="preserve"> 4 </t>
    </r>
  </si>
  <si>
    <t>на 2023 г.</t>
  </si>
  <si>
    <r>
      <t>Остаток средств на начало текущего финансового года</t>
    </r>
    <r>
      <rPr>
        <vertAlign val="superscript"/>
        <sz val="9"/>
        <rFont val="Times New Roman"/>
        <family val="1"/>
      </rPr>
      <t>5</t>
    </r>
  </si>
  <si>
    <r>
      <t>Остаток средств на конец текущего финансового года</t>
    </r>
    <r>
      <rPr>
        <vertAlign val="superscript"/>
        <sz val="9"/>
        <rFont val="Times New Roman"/>
        <family val="1"/>
      </rPr>
      <t>5</t>
    </r>
  </si>
  <si>
    <t>в том числе: доходы от собственности, всего</t>
  </si>
  <si>
    <r>
      <t xml:space="preserve">субсидии на финансовое обеспечение выполнения государственного задания за счет средств бюджета </t>
    </r>
    <r>
      <rPr>
        <b/>
        <sz val="9"/>
        <rFont val="Times New Roman"/>
        <family val="1"/>
      </rPr>
      <t>Федерального</t>
    </r>
    <r>
      <rPr>
        <sz val="9"/>
        <rFont val="Times New Roman"/>
        <family val="1"/>
      </rPr>
      <t xml:space="preserve"> фонда обязательного медицинского страхования</t>
    </r>
  </si>
  <si>
    <r>
      <t xml:space="preserve">субсидии на финансовое обеспечение выполнения государственного задания за счет средств бюджета </t>
    </r>
    <r>
      <rPr>
        <b/>
        <sz val="9"/>
        <rFont val="Times New Roman"/>
        <family val="1"/>
      </rPr>
      <t>Территориального</t>
    </r>
    <r>
      <rPr>
        <sz val="9"/>
        <rFont val="Times New Roman"/>
        <family val="1"/>
      </rPr>
      <t xml:space="preserve"> фонда обязательного медицинского страхования</t>
    </r>
  </si>
  <si>
    <r>
      <t xml:space="preserve">доходы от возмещений </t>
    </r>
    <r>
      <rPr>
        <b/>
        <sz val="9"/>
        <rFont val="Times New Roman"/>
        <family val="1"/>
      </rPr>
      <t>Фондом социального страхования</t>
    </r>
    <r>
      <rPr>
        <sz val="9"/>
        <rFont val="Times New Roman"/>
        <family val="1"/>
      </rPr>
      <t xml:space="preserve"> Российской Федерации расходов </t>
    </r>
  </si>
  <si>
    <r>
      <t xml:space="preserve">доходы от операций с </t>
    </r>
    <r>
      <rPr>
        <b/>
        <sz val="9"/>
        <rFont val="Times New Roman"/>
        <family val="1"/>
      </rPr>
      <t>нефинансовыми</t>
    </r>
    <r>
      <rPr>
        <sz val="9"/>
        <rFont val="Times New Roman"/>
        <family val="1"/>
      </rPr>
      <t xml:space="preserve"> активами, всего</t>
    </r>
  </si>
  <si>
    <r>
      <t>прочие поступления, всего</t>
    </r>
    <r>
      <rPr>
        <vertAlign val="superscript"/>
        <sz val="9"/>
        <rFont val="Times New Roman"/>
        <family val="1"/>
      </rPr>
      <t>6</t>
    </r>
  </si>
  <si>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</si>
  <si>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</si>
  <si>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</si>
  <si>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</si>
  <si>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</si>
  <si>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</si>
  <si>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</si>
  <si>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</si>
  <si>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</si>
  <si>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</si>
  <si>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</si>
  <si>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</si>
  <si>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</si>
  <si>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</si>
  <si>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</si>
  <si>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 xml:space="preserve">гранты, предоставляемые некомерческим организациям (за исключением бюджетных и автономных учреждений) </t>
  </si>
  <si>
    <t>платежи в целях обеспечения реализации соглашений с правительствами иностранных государств и международными организациями</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</si>
  <si>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</si>
  <si>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научно-исследовательских и опытно-конструкторских работ</t>
  </si>
  <si>
    <t>в том числе: налог на прибыль8</t>
  </si>
  <si>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</si>
  <si>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</si>
  <si>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t>из них:   возврат в бюджет средств субсидии</t>
  </si>
  <si>
    <t>№  п/п</t>
  </si>
  <si>
    <t>Коды строк</t>
  </si>
  <si>
    <t>Год начала закупки</t>
  </si>
  <si>
    <t>в том числе в соответствии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</si>
  <si>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</si>
  <si>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26510</t>
  </si>
  <si>
    <t>26610</t>
  </si>
  <si>
    <r>
      <t>Раздел 2. Сведения по выплатам на закупки товаров, работ, услуг</t>
    </r>
    <r>
      <rPr>
        <vertAlign val="superscript"/>
        <sz val="9"/>
        <rFont val="Times New Roman"/>
        <family val="1"/>
      </rPr>
      <t>10</t>
    </r>
  </si>
  <si>
    <r>
      <t xml:space="preserve">Код по бюджетной классификации Российской Федерации </t>
    </r>
    <r>
      <rPr>
        <vertAlign val="superscript"/>
        <sz val="9"/>
        <rFont val="Times New Roman"/>
        <family val="1"/>
      </rPr>
      <t>10.1</t>
    </r>
  </si>
  <si>
    <r>
      <t>Выплаты на закупку товаров, работ, услуг, всего</t>
    </r>
    <r>
      <rPr>
        <vertAlign val="superscript"/>
        <sz val="9"/>
        <rFont val="Times New Roman"/>
        <family val="1"/>
      </rPr>
      <t>11</t>
    </r>
  </si>
  <si>
    <r>
      <t xml:space="preserve">из них </t>
    </r>
    <r>
      <rPr>
        <vertAlign val="superscript"/>
        <sz val="9"/>
        <rFont val="Times New Roman"/>
        <family val="1"/>
      </rPr>
      <t>10.1</t>
    </r>
    <r>
      <rPr>
        <sz val="9"/>
        <rFont val="Times New Roman"/>
        <family val="1"/>
      </rPr>
      <t xml:space="preserve"> :</t>
    </r>
  </si>
  <si>
    <t>23</t>
  </si>
  <si>
    <t>Департамент здравоохранения Томской области</t>
  </si>
  <si>
    <t>24</t>
  </si>
  <si>
    <t>25</t>
  </si>
  <si>
    <t>План финансово-хозяйственной деятельности на 2023 год</t>
  </si>
  <si>
    <t>на 2024 г.</t>
  </si>
  <si>
    <t>на 2025 г.</t>
  </si>
  <si>
    <t>Форма</t>
  </si>
  <si>
    <t>ФЭК</t>
  </si>
  <si>
    <t>ЦБ</t>
  </si>
  <si>
    <t>средствам ОМС</t>
  </si>
  <si>
    <t>средствам от ПДД</t>
  </si>
  <si>
    <t>средствам ГЗ</t>
  </si>
  <si>
    <t>ОТ</t>
  </si>
  <si>
    <t>(ФИО (при наличии))</t>
  </si>
  <si>
    <t>Куратор по:                       Виза</t>
  </si>
  <si>
    <t>Используемые сокращения:</t>
  </si>
  <si>
    <t>ФЭК - финансово-экономический комитет;</t>
  </si>
  <si>
    <t>ЦБ - централизованная бухгалтерия;</t>
  </si>
  <si>
    <t>ОМС - обязательное медицинское страхование;</t>
  </si>
  <si>
    <t>ПДД - приносящая доход деятельность;</t>
  </si>
  <si>
    <t>ГЗ - государственное задание;</t>
  </si>
  <si>
    <t>ОТ - оплата труда.</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</si>
  <si>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</si>
  <si>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в том числе: целевые субсидии</t>
  </si>
  <si>
    <t>из них: гранты, предоставляемые бюджетным учреждениям</t>
  </si>
  <si>
    <t>прочую закупку товаров, работ и услуг</t>
  </si>
  <si>
    <t>закупку товаров, работ, услуг в целях капитального ремонта государственного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</si>
  <si>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</si>
  <si>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</si>
  <si>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</si>
  <si>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</si>
  <si>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капитальные вложения в объекты государственной собственности, всего</t>
  </si>
  <si>
    <t>2700</t>
  </si>
  <si>
    <t>в том числе: приобретение объектов недвижимого имущества государственными  учреждениями</t>
  </si>
  <si>
    <t>2710</t>
  </si>
  <si>
    <t>строительство (реконструкция) объектов недвижимого имущества государственными  учреждениями</t>
  </si>
  <si>
    <t>2720</t>
  </si>
  <si>
    <t>(фамилия, имя, отчество (при наличии))</t>
  </si>
  <si>
    <t>(уполномоченное лицо учреждения)                                                           (должность)</t>
  </si>
  <si>
    <t>и муниципальных нужд» (далее — Федеральный закон № 44-ФЗ) и Федерального</t>
  </si>
  <si>
    <t>закона от 18 июля 2011 г. № 223-ФЗ «О закупках товаров, работ, услуг отдель-</t>
  </si>
  <si>
    <r>
      <t>ными видами юридических лиц» (далее — Федеральный закон № 223-ФЗ)</t>
    </r>
    <r>
      <rPr>
        <vertAlign val="superscript"/>
        <sz val="9"/>
        <rFont val="Times New Roman"/>
        <family val="1"/>
      </rPr>
      <t>12</t>
    </r>
  </si>
  <si>
    <t>1.3.1</t>
  </si>
  <si>
    <t>1.3.2</t>
  </si>
  <si>
    <r>
      <t>Итого:  по контрактам, планируемым к заключению в соответствующем финансовом году ветствии с Федеральным законом № 44-ФЗ, по соответствующему году закупки</t>
    </r>
    <r>
      <rPr>
        <vertAlign val="superscript"/>
        <sz val="9"/>
        <rFont val="Times New Roman"/>
        <family val="1"/>
      </rPr>
      <t>16</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</si>
  <si>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</si>
  <si>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(должность)</t>
  </si>
  <si>
    <t xml:space="preserve">                                                                                                                  (должность)</t>
  </si>
  <si>
    <t xml:space="preserve">                                (телефон)</t>
  </si>
  <si>
    <r>
      <rPr>
        <vertAlign val="superscript"/>
        <sz val="11"/>
        <rFont val="Times New Roman"/>
        <family val="1"/>
      </rPr>
      <t>1</t>
    </r>
    <r>
      <rPr>
        <sz val="11"/>
        <rFont val="Times New Roman"/>
        <family val="1"/>
      </rPr>
      <t xml:space="preserve">    В случае утверждения закона (решения) о бюджете на текущий финансовый год и плановый период.</t>
    </r>
  </si>
  <si>
    <r>
      <rPr>
        <vertAlign val="superscript"/>
        <sz val="11"/>
        <rFont val="Times New Roman"/>
        <family val="1"/>
      </rPr>
      <t>2</t>
    </r>
    <r>
      <rPr>
        <sz val="11"/>
        <rFont val="Times New Roman"/>
        <family val="1"/>
      </rPr>
      <t xml:space="preserve">    Указывается дата подписания ПФХД, а в случае утверждения ПФХД уполномоченным лицом учреждения - дата утверждения ПФХД.</t>
    </r>
  </si>
  <si>
    <r>
      <rPr>
        <vertAlign val="superscript"/>
        <sz val="11"/>
        <rFont val="Times New Roman"/>
        <family val="1"/>
      </rPr>
      <t>3</t>
    </r>
    <r>
      <rPr>
        <sz val="11"/>
        <rFont val="Times New Roman"/>
        <family val="1"/>
      </rPr>
      <t xml:space="preserve">    В графе 3 отражаются:</t>
    </r>
  </si>
  <si>
    <r>
      <rPr>
        <sz val="11"/>
        <rFont val="Times New Roman"/>
        <family val="1"/>
      </rPr>
      <t>по строкам 1100 - 1900 - коды аналитической группы подвида доходов бюджетов классификации доходов бюджетов;</t>
    </r>
  </si>
  <si>
    <r>
      <rPr>
        <sz val="11"/>
        <rFont val="Times New Roman"/>
        <family val="1"/>
      </rPr>
      <t>по строкам 1980 - 1990 -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</si>
  <si>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</si>
  <si>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sz val="11"/>
        <rFont val="Times New Roman"/>
        <family val="1"/>
      </rPr>
      <t>по строкам 2000 - 2720 - коды видов расходов бюджетов классификации расходов бюджетов;</t>
    </r>
  </si>
  <si>
    <r>
      <rPr>
        <sz val="11"/>
        <rFont val="Times New Roman"/>
        <family val="1"/>
      </rPr>
      <t>по строкам 3000 - 3030 - коды аналитической группы подвида доходов, бюджетов классификации доходов бюджетов, по которым</t>
    </r>
  </si>
  <si>
    <r>
      <rPr>
        <sz val="11"/>
        <rFont val="Times New Roman"/>
        <family val="1"/>
      </rPr>
      <t>по строкам 4000 - 4040 -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</si>
  <si>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</si>
  <si>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vertAlign val="superscript"/>
        <sz val="11"/>
        <rFont val="Times New Roman"/>
        <family val="1"/>
      </rPr>
      <t>4</t>
    </r>
    <r>
      <rPr>
        <sz val="11"/>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t>
    </r>
  </si>
  <si>
    <r>
      <rPr>
        <sz val="11"/>
        <rFont val="Times New Roman"/>
        <family val="1"/>
      </rPr>
      <t>классификации операций сектора государственного управления, утвержденным Приказом Министерства финансов Российской Федерации от</t>
    </r>
  </si>
  <si>
    <r>
      <rPr>
        <sz val="11"/>
        <rFont val="Times New Roman"/>
        <family val="1"/>
      </rPr>
      <t>29 ноября 2017 года № 209н (зарегистрирован в Министерстве юстиции Российской Федерации 12 февраля 2018 г., регистрационный номер</t>
    </r>
  </si>
  <si>
    <r>
      <rPr>
        <sz val="11"/>
        <rFont val="Times New Roman"/>
        <family val="1"/>
      </rPr>
      <t>50003, и (или) коды иных аналитических показателей).</t>
    </r>
  </si>
  <si>
    <r>
      <rPr>
        <vertAlign val="superscript"/>
        <sz val="11"/>
        <rFont val="Times New Roman"/>
        <family val="1"/>
      </rPr>
      <t>5</t>
    </r>
    <r>
      <rPr>
        <sz val="11"/>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t>
    </r>
  </si>
  <si>
    <r>
      <rPr>
        <sz val="11"/>
        <rFont val="Times New Roman"/>
        <family val="1"/>
      </rPr>
      <t>показатели по решению органа, осуществляющего функции и полномочия учредителя, планируются на этапе формирования проекта ПФХД</t>
    </r>
  </si>
  <si>
    <r>
      <rPr>
        <sz val="11"/>
        <rFont val="Times New Roman"/>
        <family val="1"/>
      </rPr>
      <t>либо указываются фактические остатки средств при внесении изменений в утвержденный ПФХД после завершения отчетного финансового</t>
    </r>
  </si>
  <si>
    <r>
      <rPr>
        <sz val="11"/>
        <rFont val="Times New Roman"/>
        <family val="1"/>
      </rPr>
      <t>года.</t>
    </r>
  </si>
  <si>
    <r>
      <rPr>
        <vertAlign val="superscript"/>
        <sz val="11"/>
        <rFont val="Times New Roman"/>
        <family val="1"/>
      </rPr>
      <t>6</t>
    </r>
    <r>
      <rPr>
        <sz val="11"/>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t>
    </r>
  </si>
  <si>
    <r>
      <rPr>
        <sz val="11"/>
        <rFont val="Times New Roman"/>
        <family val="1"/>
      </rPr>
      <t>задолженности прошлых лет, включая возврат предоставленных займов (микрозаймов), а также за счет возврата средств, размещенных на</t>
    </r>
  </si>
  <si>
    <r>
      <rPr>
        <sz val="11"/>
        <rFont val="Times New Roman"/>
        <family val="1"/>
      </rPr>
      <t>банковских депозитах. При формировании ПФХД (проекта ПФХД) обособленному(ым) подразделению(ям) показатель прочих поступлений</t>
    </r>
  </si>
  <si>
    <r>
      <rPr>
        <sz val="11"/>
        <rFont val="Times New Roman"/>
        <family val="1"/>
      </rPr>
      <t>включает показатель поступлений в рамках расчетов между головным учреждением и обособленным подразделением.</t>
    </r>
  </si>
  <si>
    <r>
      <rPr>
        <vertAlign val="superscript"/>
        <sz val="11"/>
        <rFont val="Sylfaen"/>
        <family val="1"/>
      </rPr>
      <t>8</t>
    </r>
    <r>
      <rPr>
        <sz val="11"/>
        <rFont val="Sylfaen"/>
        <family val="1"/>
      </rPr>
      <t xml:space="preserve">    Показатель отражается со знаком «минус».</t>
    </r>
  </si>
  <si>
    <r>
      <rPr>
        <vertAlign val="superscript"/>
        <sz val="11"/>
        <rFont val="Sylfaen"/>
        <family val="1"/>
      </rPr>
      <t>14</t>
    </r>
    <r>
      <rPr>
        <sz val="11"/>
        <rFont val="Sylfaen"/>
        <family val="1"/>
      </rPr>
      <t xml:space="preserve">    Государственным бюджетным учреждением показатель не формируется.</t>
    </r>
  </si>
  <si>
    <r>
      <rPr>
        <vertAlign val="superscript"/>
        <sz val="11"/>
        <rFont val="Sylfaen"/>
        <family val="1"/>
      </rPr>
      <t>15</t>
    </r>
    <r>
      <rPr>
        <sz val="11"/>
        <rFont val="Sylfaen"/>
        <family val="1"/>
      </rPr>
      <t xml:space="preserve">    Указывается сумма закупок товаров, работ, услуг, осуществляемых в соответствии с Федеральным законом №44-ФЗ.</t>
    </r>
  </si>
  <si>
    <r>
      <rPr>
        <vertAlign val="superscript"/>
        <sz val="11"/>
        <rFont val="Times New Roman"/>
        <family val="1"/>
      </rPr>
      <t>16</t>
    </r>
    <r>
      <rPr>
        <sz val="11"/>
        <rFont val="Times New Roman"/>
        <family val="1"/>
      </rPr>
      <t xml:space="preserve"> Плановые показатели выплат на закупку товаров, работ, услуг по строке 26500 государственного бюджетного учреждения должны быть</t>
    </r>
  </si>
  <si>
    <r>
      <rPr>
        <sz val="11"/>
        <rFont val="Times New Roman"/>
        <family val="1"/>
      </rPr>
      <t>не менее суммы показателей строк 26410,26420,26430,26440 по соответствующей графе, государственного автономного учреждения - не менее</t>
    </r>
  </si>
  <si>
    <r>
      <rPr>
        <sz val="11"/>
        <rFont val="Times New Roman"/>
        <family val="1"/>
      </rPr>
      <t>показателя строки 26430 по соответствующей графе.</t>
    </r>
  </si>
  <si>
    <t>Приложение № 1</t>
  </si>
  <si>
    <t>к Порядку составления, утверждения и ведения плана финансово-хозяйственной деятельности областных государственных бюджетных и автономных учреждений, в отношении которых Департамент здравоохранения Томской области осуществляет функции и полномочия учредителя</t>
  </si>
  <si>
    <r>
      <rPr>
        <sz val="10"/>
        <rFont val="Times New Roman"/>
        <family val="1"/>
      </rPr>
      <t>Код строки</t>
    </r>
  </si>
  <si>
    <r>
      <rPr>
        <sz val="10"/>
        <rFont val="Times New Roman"/>
        <family val="1"/>
      </rPr>
      <t xml:space="preserve">Код по бюджетной классификации Российской Федерации </t>
    </r>
    <r>
      <rPr>
        <vertAlign val="superscript"/>
        <sz val="10"/>
        <rFont val="Times New Roman"/>
        <family val="1"/>
      </rPr>
      <t>3</t>
    </r>
  </si>
  <si>
    <r>
      <rPr>
        <sz val="10"/>
        <rFont val="Times New Roman"/>
        <family val="1"/>
      </rPr>
      <t>Субсидии на осуществление капитальных вложений</t>
    </r>
  </si>
  <si>
    <r>
      <rPr>
        <sz val="10"/>
        <rFont val="Times New Roman"/>
        <family val="1"/>
      </rPr>
      <t>2</t>
    </r>
  </si>
  <si>
    <r>
      <rPr>
        <sz val="10"/>
        <rFont val="Times New Roman"/>
        <family val="1"/>
      </rPr>
      <t>3</t>
    </r>
  </si>
  <si>
    <r>
      <rPr>
        <sz val="10"/>
        <rFont val="Times New Roman"/>
        <family val="1"/>
      </rPr>
      <t>10</t>
    </r>
  </si>
  <si>
    <r>
      <rPr>
        <sz val="10"/>
        <rFont val="Times New Roman"/>
        <family val="1"/>
      </rPr>
      <t>0001</t>
    </r>
  </si>
  <si>
    <r>
      <rPr>
        <sz val="10"/>
        <rFont val="Times New Roman"/>
        <family val="1"/>
      </rPr>
      <t>X</t>
    </r>
  </si>
  <si>
    <r>
      <rPr>
        <sz val="10"/>
        <rFont val="Times New Roman"/>
        <family val="1"/>
      </rPr>
      <t>0002</t>
    </r>
  </si>
  <si>
    <r>
      <rPr>
        <sz val="10"/>
        <rFont val="Times New Roman"/>
        <family val="1"/>
      </rPr>
      <t>1000</t>
    </r>
  </si>
  <si>
    <r>
      <rPr>
        <sz val="10"/>
        <rFont val="Times New Roman"/>
        <family val="1"/>
      </rPr>
      <t>1100</t>
    </r>
  </si>
  <si>
    <r>
      <rPr>
        <sz val="10"/>
        <rFont val="Times New Roman"/>
        <family val="1"/>
      </rPr>
      <t>120</t>
    </r>
  </si>
  <si>
    <r>
      <rPr>
        <sz val="10"/>
        <rFont val="Times New Roman"/>
        <family val="1"/>
      </rPr>
      <t>1110</t>
    </r>
  </si>
  <si>
    <r>
      <rPr>
        <sz val="10"/>
        <rFont val="Times New Roman"/>
        <family val="1"/>
      </rPr>
      <t>1200</t>
    </r>
  </si>
  <si>
    <r>
      <rPr>
        <sz val="10"/>
        <rFont val="Times New Roman"/>
        <family val="1"/>
      </rPr>
      <t>130</t>
    </r>
  </si>
  <si>
    <r>
      <rPr>
        <sz val="10"/>
        <rFont val="Times New Roman"/>
        <family val="1"/>
      </rPr>
      <t>1210</t>
    </r>
  </si>
  <si>
    <r>
      <rPr>
        <sz val="10"/>
        <rFont val="Times New Roman"/>
        <family val="1"/>
      </rPr>
      <t>1220</t>
    </r>
  </si>
  <si>
    <r>
      <rPr>
        <sz val="10"/>
        <rFont val="Times New Roman"/>
        <family val="1"/>
      </rPr>
      <t>1230</t>
    </r>
  </si>
  <si>
    <r>
      <rPr>
        <sz val="10"/>
        <rFont val="Times New Roman"/>
        <family val="1"/>
      </rPr>
      <t>1240</t>
    </r>
  </si>
  <si>
    <r>
      <rPr>
        <sz val="10"/>
        <rFont val="Times New Roman"/>
        <family val="1"/>
      </rPr>
      <t>1250</t>
    </r>
  </si>
  <si>
    <r>
      <rPr>
        <sz val="10"/>
        <rFont val="Times New Roman"/>
        <family val="1"/>
      </rPr>
      <t>1300</t>
    </r>
  </si>
  <si>
    <r>
      <rPr>
        <sz val="10"/>
        <rFont val="Times New Roman"/>
        <family val="1"/>
      </rPr>
      <t>140</t>
    </r>
  </si>
  <si>
    <r>
      <rPr>
        <sz val="10"/>
        <rFont val="Times New Roman"/>
        <family val="1"/>
      </rPr>
      <t>1310</t>
    </r>
  </si>
  <si>
    <r>
      <rPr>
        <sz val="10"/>
        <rFont val="Times New Roman"/>
        <family val="1"/>
      </rPr>
      <t>1400</t>
    </r>
  </si>
  <si>
    <r>
      <rPr>
        <sz val="10"/>
        <rFont val="Times New Roman"/>
        <family val="1"/>
      </rPr>
      <t>150</t>
    </r>
  </si>
  <si>
    <r>
      <rPr>
        <sz val="10"/>
        <rFont val="Times New Roman"/>
        <family val="1"/>
      </rPr>
      <t>1410</t>
    </r>
  </si>
  <si>
    <r>
      <rPr>
        <sz val="10"/>
        <rFont val="Times New Roman"/>
        <family val="1"/>
      </rPr>
      <t>1420</t>
    </r>
  </si>
  <si>
    <r>
      <rPr>
        <sz val="10"/>
        <rFont val="Times New Roman"/>
        <family val="1"/>
      </rPr>
      <t>180</t>
    </r>
  </si>
  <si>
    <r>
      <rPr>
        <sz val="10"/>
        <rFont val="Times New Roman"/>
        <family val="1"/>
      </rPr>
      <t>400</t>
    </r>
  </si>
  <si>
    <r>
      <rPr>
        <sz val="7"/>
        <rFont val="Century Schoolbook"/>
        <family val="1"/>
      </rPr>
      <t>X</t>
    </r>
  </si>
  <si>
    <r>
      <rPr>
        <sz val="10"/>
        <rFont val="Times New Roman"/>
        <family val="1"/>
      </rPr>
      <t>2100</t>
    </r>
  </si>
  <si>
    <r>
      <rPr>
        <sz val="10"/>
        <rFont val="Times New Roman"/>
        <family val="1"/>
      </rPr>
      <t>2110</t>
    </r>
  </si>
  <si>
    <r>
      <rPr>
        <sz val="10"/>
        <rFont val="Times New Roman"/>
        <family val="1"/>
      </rPr>
      <t>111</t>
    </r>
  </si>
  <si>
    <r>
      <rPr>
        <sz val="10"/>
        <rFont val="Times New Roman"/>
        <family val="1"/>
      </rPr>
      <t>2120</t>
    </r>
  </si>
  <si>
    <r>
      <rPr>
        <sz val="10"/>
        <rFont val="Times New Roman"/>
        <family val="1"/>
      </rPr>
      <t>112</t>
    </r>
  </si>
  <si>
    <r>
      <rPr>
        <sz val="10"/>
        <rFont val="Times New Roman"/>
        <family val="1"/>
      </rPr>
      <t>2140</t>
    </r>
  </si>
  <si>
    <r>
      <rPr>
        <sz val="10"/>
        <rFont val="Times New Roman"/>
        <family val="1"/>
      </rPr>
      <t>119</t>
    </r>
  </si>
  <si>
    <r>
      <rPr>
        <sz val="10"/>
        <rFont val="Times New Roman"/>
        <family val="1"/>
      </rPr>
      <t>2141</t>
    </r>
  </si>
  <si>
    <r>
      <rPr>
        <sz val="10"/>
        <rFont val="Times New Roman"/>
        <family val="1"/>
      </rPr>
      <t>2142</t>
    </r>
  </si>
  <si>
    <r>
      <rPr>
        <sz val="10"/>
        <rFont val="Times New Roman"/>
        <family val="1"/>
      </rPr>
      <t>2150</t>
    </r>
  </si>
  <si>
    <r>
      <rPr>
        <sz val="10"/>
        <rFont val="Times New Roman"/>
        <family val="1"/>
      </rPr>
      <t>131</t>
    </r>
  </si>
  <si>
    <r>
      <rPr>
        <sz val="10"/>
        <rFont val="Times New Roman"/>
        <family val="1"/>
      </rPr>
      <t>2160</t>
    </r>
  </si>
  <si>
    <r>
      <rPr>
        <sz val="10"/>
        <rFont val="Times New Roman"/>
        <family val="1"/>
      </rPr>
      <t>133</t>
    </r>
  </si>
  <si>
    <r>
      <rPr>
        <sz val="10"/>
        <rFont val="Times New Roman"/>
        <family val="1"/>
      </rPr>
      <t>2170</t>
    </r>
  </si>
  <si>
    <r>
      <rPr>
        <sz val="10"/>
        <rFont val="Times New Roman"/>
        <family val="1"/>
      </rPr>
      <t>134</t>
    </r>
  </si>
  <si>
    <r>
      <rPr>
        <sz val="10"/>
        <rFont val="Times New Roman"/>
        <family val="1"/>
      </rPr>
      <t>2180</t>
    </r>
  </si>
  <si>
    <r>
      <rPr>
        <sz val="10"/>
        <rFont val="Times New Roman"/>
        <family val="1"/>
      </rPr>
      <t>139</t>
    </r>
  </si>
  <si>
    <r>
      <rPr>
        <sz val="10"/>
        <rFont val="Times New Roman"/>
        <family val="1"/>
      </rPr>
      <t>2181</t>
    </r>
  </si>
  <si>
    <r>
      <rPr>
        <sz val="10"/>
        <rFont val="Times New Roman"/>
        <family val="1"/>
      </rPr>
      <t>2182</t>
    </r>
  </si>
  <si>
    <r>
      <rPr>
        <sz val="10"/>
        <rFont val="Times New Roman"/>
        <family val="1"/>
      </rPr>
      <t>2200</t>
    </r>
  </si>
  <si>
    <r>
      <rPr>
        <sz val="10"/>
        <rFont val="Times New Roman"/>
        <family val="1"/>
      </rPr>
      <t>300</t>
    </r>
  </si>
  <si>
    <r>
      <rPr>
        <sz val="10"/>
        <rFont val="Times New Roman"/>
        <family val="1"/>
      </rPr>
      <t>2210</t>
    </r>
  </si>
  <si>
    <r>
      <rPr>
        <sz val="10"/>
        <rFont val="Times New Roman"/>
        <family val="1"/>
      </rPr>
      <t>320</t>
    </r>
  </si>
  <si>
    <r>
      <rPr>
        <sz val="10"/>
        <rFont val="Times New Roman"/>
        <family val="1"/>
      </rPr>
      <t>2211</t>
    </r>
  </si>
  <si>
    <r>
      <rPr>
        <sz val="10"/>
        <rFont val="Times New Roman"/>
        <family val="1"/>
      </rPr>
      <t>321</t>
    </r>
  </si>
  <si>
    <r>
      <rPr>
        <sz val="10"/>
        <rFont val="Times New Roman"/>
        <family val="1"/>
      </rPr>
      <t>2220</t>
    </r>
  </si>
  <si>
    <r>
      <rPr>
        <sz val="10"/>
        <rFont val="Times New Roman"/>
        <family val="1"/>
      </rPr>
      <t>340</t>
    </r>
  </si>
  <si>
    <r>
      <rPr>
        <sz val="10"/>
        <rFont val="Times New Roman"/>
        <family val="1"/>
      </rPr>
      <t>2230</t>
    </r>
  </si>
  <si>
    <r>
      <rPr>
        <sz val="10"/>
        <rFont val="Times New Roman"/>
        <family val="1"/>
      </rPr>
      <t>350</t>
    </r>
  </si>
  <si>
    <r>
      <rPr>
        <sz val="10"/>
        <rFont val="Times New Roman"/>
        <family val="1"/>
      </rPr>
      <t>2240</t>
    </r>
  </si>
  <si>
    <r>
      <rPr>
        <sz val="10"/>
        <rFont val="Times New Roman"/>
        <family val="1"/>
      </rPr>
      <t>360</t>
    </r>
  </si>
  <si>
    <r>
      <rPr>
        <sz val="10"/>
        <rFont val="Times New Roman"/>
        <family val="1"/>
      </rPr>
      <t>2310</t>
    </r>
  </si>
  <si>
    <r>
      <rPr>
        <sz val="10"/>
        <rFont val="Times New Roman"/>
        <family val="1"/>
      </rPr>
      <t>851</t>
    </r>
  </si>
  <si>
    <r>
      <rPr>
        <sz val="10"/>
        <rFont val="Times New Roman"/>
        <family val="1"/>
      </rPr>
      <t>2320</t>
    </r>
  </si>
  <si>
    <r>
      <rPr>
        <sz val="10"/>
        <rFont val="Times New Roman"/>
        <family val="1"/>
      </rPr>
      <t>852</t>
    </r>
  </si>
  <si>
    <r>
      <rPr>
        <sz val="10"/>
        <rFont val="Times New Roman"/>
        <family val="1"/>
      </rPr>
      <t>2330</t>
    </r>
  </si>
  <si>
    <r>
      <rPr>
        <sz val="10"/>
        <rFont val="Times New Roman"/>
        <family val="1"/>
      </rPr>
      <t>853</t>
    </r>
  </si>
  <si>
    <r>
      <rPr>
        <sz val="10"/>
        <rFont val="Times New Roman"/>
        <family val="1"/>
      </rPr>
      <t>2400</t>
    </r>
  </si>
  <si>
    <r>
      <rPr>
        <sz val="10"/>
        <rFont val="Times New Roman"/>
        <family val="1"/>
      </rPr>
      <t>2410</t>
    </r>
  </si>
  <si>
    <r>
      <rPr>
        <sz val="10"/>
        <rFont val="Times New Roman"/>
        <family val="1"/>
      </rPr>
      <t>613</t>
    </r>
  </si>
  <si>
    <r>
      <rPr>
        <sz val="10"/>
        <rFont val="Times New Roman"/>
        <family val="1"/>
      </rPr>
      <t>2420</t>
    </r>
  </si>
  <si>
    <r>
      <rPr>
        <sz val="10"/>
        <rFont val="Times New Roman"/>
        <family val="1"/>
      </rPr>
      <t>623</t>
    </r>
  </si>
  <si>
    <r>
      <rPr>
        <sz val="10"/>
        <rFont val="Times New Roman"/>
        <family val="1"/>
      </rPr>
      <t>2430</t>
    </r>
  </si>
  <si>
    <r>
      <rPr>
        <sz val="10"/>
        <rFont val="Times New Roman"/>
        <family val="1"/>
      </rPr>
      <t>634</t>
    </r>
  </si>
  <si>
    <r>
      <rPr>
        <sz val="10"/>
        <rFont val="Times New Roman"/>
        <family val="1"/>
      </rPr>
      <t>2440</t>
    </r>
  </si>
  <si>
    <r>
      <rPr>
        <sz val="10"/>
        <rFont val="Times New Roman"/>
        <family val="1"/>
      </rPr>
      <t>810</t>
    </r>
  </si>
  <si>
    <r>
      <rPr>
        <sz val="10"/>
        <rFont val="Times New Roman"/>
        <family val="1"/>
      </rPr>
      <t>2450</t>
    </r>
  </si>
  <si>
    <r>
      <rPr>
        <sz val="10"/>
        <rFont val="Times New Roman"/>
        <family val="1"/>
      </rPr>
      <t>862</t>
    </r>
  </si>
  <si>
    <r>
      <rPr>
        <sz val="10"/>
        <rFont val="Times New Roman"/>
        <family val="1"/>
      </rPr>
      <t>2460</t>
    </r>
  </si>
  <si>
    <r>
      <rPr>
        <sz val="10"/>
        <rFont val="Times New Roman"/>
        <family val="1"/>
      </rPr>
      <t>863</t>
    </r>
  </si>
  <si>
    <r>
      <rPr>
        <sz val="10"/>
        <rFont val="Times New Roman"/>
        <family val="1"/>
      </rPr>
      <t>2500</t>
    </r>
  </si>
  <si>
    <r>
      <rPr>
        <sz val="10"/>
        <rFont val="Times New Roman"/>
        <family val="1"/>
      </rPr>
      <t>2520</t>
    </r>
  </si>
  <si>
    <r>
      <rPr>
        <sz val="10"/>
        <rFont val="Times New Roman"/>
        <family val="1"/>
      </rPr>
      <t>831</t>
    </r>
  </si>
  <si>
    <r>
      <rPr>
        <sz val="10"/>
        <rFont val="Times New Roman"/>
        <family val="1"/>
      </rPr>
      <t>2600</t>
    </r>
  </si>
  <si>
    <r>
      <rPr>
        <sz val="10"/>
        <rFont val="Times New Roman"/>
        <family val="1"/>
      </rPr>
      <t>2610</t>
    </r>
  </si>
  <si>
    <r>
      <rPr>
        <sz val="10"/>
        <rFont val="Times New Roman"/>
        <family val="1"/>
      </rPr>
      <t>241</t>
    </r>
  </si>
  <si>
    <r>
      <rPr>
        <sz val="10"/>
        <rFont val="Times New Roman"/>
        <family val="1"/>
      </rPr>
      <t>2620</t>
    </r>
  </si>
  <si>
    <r>
      <rPr>
        <sz val="10"/>
        <rFont val="Times New Roman"/>
        <family val="1"/>
      </rPr>
      <t>243</t>
    </r>
  </si>
  <si>
    <r>
      <rPr>
        <sz val="10"/>
        <rFont val="Times New Roman"/>
        <family val="1"/>
      </rPr>
      <t>2630</t>
    </r>
  </si>
  <si>
    <r>
      <rPr>
        <sz val="10"/>
        <rFont val="Times New Roman"/>
        <family val="1"/>
      </rPr>
      <t>244</t>
    </r>
  </si>
  <si>
    <r>
      <rPr>
        <sz val="10"/>
        <rFont val="Times New Roman"/>
        <family val="1"/>
      </rPr>
      <t>2640</t>
    </r>
  </si>
  <si>
    <r>
      <rPr>
        <sz val="10"/>
        <rFont val="Times New Roman"/>
        <family val="1"/>
      </rPr>
      <t>247</t>
    </r>
  </si>
  <si>
    <r>
      <rPr>
        <sz val="10"/>
        <rFont val="Times New Roman"/>
        <family val="1"/>
      </rPr>
      <t>3000</t>
    </r>
  </si>
  <si>
    <r>
      <rPr>
        <sz val="10"/>
        <rFont val="Times New Roman"/>
        <family val="1"/>
      </rPr>
      <t>100</t>
    </r>
  </si>
  <si>
    <r>
      <rPr>
        <sz val="10"/>
        <rFont val="Times New Roman"/>
        <family val="1"/>
      </rPr>
      <t>3020</t>
    </r>
  </si>
  <si>
    <r>
      <rPr>
        <sz val="10"/>
        <rFont val="Times New Roman"/>
        <family val="1"/>
      </rPr>
      <t>4000</t>
    </r>
  </si>
  <si>
    <r>
      <rPr>
        <sz val="10"/>
        <rFont val="Times New Roman"/>
        <family val="1"/>
      </rPr>
      <t>4010</t>
    </r>
  </si>
  <si>
    <r>
      <rPr>
        <sz val="10"/>
        <rFont val="Times New Roman"/>
        <family val="1"/>
      </rPr>
      <t>610</t>
    </r>
  </si>
  <si>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</si>
  <si>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</si>
  <si>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</si>
  <si>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</si>
  <si>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(подпись)                                                      (фамилия, имя, отчество (при наличии))</t>
  </si>
  <si>
    <t>Приложение № 2</t>
  </si>
  <si>
    <r>
      <rPr>
        <sz val="11"/>
        <rFont val="Times New Roman"/>
        <family val="1"/>
      </rPr>
      <t>(наименование учреждения)</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</si>
  <si>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</si>
  <si>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</si>
  <si>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0"/>
        <rFont val="Times New Roman"/>
        <family val="1"/>
      </rPr>
      <t>Наименование показателя</t>
    </r>
  </si>
  <si>
    <r>
      <rPr>
        <sz val="10"/>
        <rFont val="Times New Roman"/>
        <family val="1"/>
      </rPr>
      <t>КФСР</t>
    </r>
  </si>
  <si>
    <r>
      <rPr>
        <b/>
        <sz val="9"/>
        <rFont val="Times New Roman"/>
        <family val="1"/>
      </rPr>
      <t>...</t>
    </r>
  </si>
  <si>
    <r>
      <rPr>
        <sz val="10"/>
        <rFont val="Times New Roman"/>
        <family val="1"/>
      </rPr>
      <t>Средства обязательного медицинского страхования</t>
    </r>
  </si>
  <si>
    <t>Приложение № 3</t>
  </si>
  <si>
    <t>к Порядку составления, утверждения и ведения плана</t>
  </si>
  <si>
    <t>финансово-хозяйственной деятельности областных</t>
  </si>
  <si>
    <t>государственных бюджетных и автономных учреждений,</t>
  </si>
  <si>
    <t>в отношении которых Департамент здравоохранения</t>
  </si>
  <si>
    <t>Томской области осуществляет функции и полномочия</t>
  </si>
  <si>
    <t>учредителя</t>
  </si>
  <si>
    <t>ФЭК                               ___________________</t>
  </si>
  <si>
    <t xml:space="preserve">Куратор по:                                    Виза    </t>
  </si>
  <si>
    <t>средствам ОМС          ___________________</t>
  </si>
  <si>
    <t>средствам от ПДД     ___________________</t>
  </si>
  <si>
    <t>ЦБ                                  ___________________</t>
  </si>
  <si>
    <t>средствам ГЗ              ___________________</t>
  </si>
  <si>
    <t>ОТ                                 ___________________</t>
  </si>
  <si>
    <t xml:space="preserve">       (подпись) (фамилия, имя, отчество (при наличии))</t>
  </si>
  <si>
    <t xml:space="preserve">       (наименование органа-учредителя (учреждения))</t>
  </si>
  <si>
    <t xml:space="preserve">     (наименование должности уполномоченного лица)</t>
  </si>
  <si>
    <t xml:space="preserve">    (подпись)                                             (фамилия, имя, отчество (при наличии))</t>
  </si>
  <si>
    <t xml:space="preserve">     (подпись)                                            (фамилия, имя, отчество (при наличии))</t>
  </si>
  <si>
    <r>
      <rPr>
        <sz val="11"/>
        <rFont val="Times New Roman"/>
        <family val="1"/>
      </rPr>
      <t>Приложение № 4</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</si>
  <si>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</si>
  <si>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</si>
  <si>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</si>
  <si>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</si>
  <si>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0"/>
        <rFont val="Times New Roman"/>
        <family val="1"/>
      </rPr>
      <t>№</t>
    </r>
  </si>
  <si>
    <r>
      <rPr>
        <sz val="10"/>
        <rFont val="Times New Roman"/>
        <family val="1"/>
      </rPr>
      <t>Вид (услуги, работы)</t>
    </r>
  </si>
  <si>
    <r>
      <rPr>
        <sz val="10"/>
        <rFont val="Times New Roman"/>
        <family val="1"/>
      </rPr>
      <t>Плата за единицу*</t>
    </r>
  </si>
  <si>
    <r>
      <rPr>
        <sz val="10"/>
        <rFont val="Times New Roman"/>
        <family val="1"/>
      </rPr>
      <t>Планируемый объем оказания услуг</t>
    </r>
  </si>
  <si>
    <r>
      <rPr>
        <sz val="10"/>
        <rFont val="Times New Roman"/>
        <family val="1"/>
      </rPr>
      <t>Сумма, руб.</t>
    </r>
  </si>
  <si>
    <r>
      <rPr>
        <sz val="10"/>
        <rFont val="Times New Roman"/>
        <family val="1"/>
      </rPr>
      <t>1</t>
    </r>
  </si>
  <si>
    <r>
      <rPr>
        <sz val="10"/>
        <rFont val="Times New Roman"/>
        <family val="1"/>
      </rPr>
      <t>2</t>
    </r>
  </si>
  <si>
    <r>
      <rPr>
        <sz val="10"/>
        <rFont val="Times New Roman"/>
        <family val="1"/>
      </rPr>
      <t>3</t>
    </r>
  </si>
  <si>
    <r>
      <rPr>
        <sz val="10"/>
        <rFont val="Times New Roman"/>
        <family val="1"/>
      </rPr>
      <t>4</t>
    </r>
  </si>
  <si>
    <r>
      <rPr>
        <sz val="10"/>
        <rFont val="Times New Roman"/>
        <family val="1"/>
      </rPr>
      <t>5</t>
    </r>
  </si>
  <si>
    <r>
      <rPr>
        <sz val="10"/>
        <rFont val="Times New Roman"/>
        <family val="1"/>
      </rPr>
      <t>6</t>
    </r>
  </si>
  <si>
    <r>
      <rPr>
        <sz val="10"/>
        <rFont val="Times New Roman"/>
        <family val="1"/>
      </rPr>
      <t>7</t>
    </r>
  </si>
  <si>
    <r>
      <rPr>
        <sz val="10"/>
        <rFont val="Times New Roman"/>
        <family val="1"/>
      </rPr>
      <t>КВФ0 4 (ГЗ)</t>
    </r>
  </si>
  <si>
    <r>
      <rPr>
        <sz val="10"/>
        <rFont val="Times New Roman"/>
        <family val="1"/>
      </rPr>
      <t>Доходы от оказания услуг, выполнения работ в рамках</t>
    </r>
  </si>
  <si>
    <r>
      <rPr>
        <sz val="10"/>
        <rFont val="Times New Roman"/>
        <family val="1"/>
      </rPr>
      <t>Амбулаторная помощь, в том числе:</t>
    </r>
  </si>
  <si>
    <r>
      <rPr>
        <sz val="10"/>
        <rFont val="Times New Roman"/>
        <family val="1"/>
      </rPr>
      <t>0902</t>
    </r>
  </si>
  <si>
    <r>
      <rPr>
        <sz val="10"/>
        <rFont val="Times New Roman"/>
        <family val="1"/>
      </rPr>
      <t>X</t>
    </r>
  </si>
  <si>
    <r>
      <rPr>
        <b/>
        <i/>
        <sz val="10"/>
        <rFont val="Times New Roman"/>
        <family val="1"/>
      </rPr>
      <t>X</t>
    </r>
  </si>
  <si>
    <r>
      <rPr>
        <sz val="10"/>
        <rFont val="Times New Roman"/>
        <family val="1"/>
      </rPr>
      <t>установленного</t>
    </r>
  </si>
  <si>
    <r>
      <rPr>
        <sz val="10"/>
        <rFont val="Times New Roman"/>
        <family val="1"/>
      </rPr>
      <t>посещения</t>
    </r>
  </si>
  <si>
    <r>
      <rPr>
        <sz val="10"/>
        <rFont val="Times New Roman"/>
        <family val="1"/>
      </rPr>
      <t>государственного задания</t>
    </r>
  </si>
  <si>
    <r>
      <rPr>
        <sz val="10"/>
        <rFont val="Times New Roman"/>
        <family val="1"/>
      </rPr>
      <t>обращения</t>
    </r>
  </si>
  <si>
    <r>
      <rPr>
        <sz val="10"/>
        <rFont val="Times New Roman"/>
        <family val="1"/>
      </rPr>
      <t>исследования</t>
    </r>
  </si>
  <si>
    <r>
      <rPr>
        <sz val="10"/>
        <rFont val="Times New Roman"/>
        <family val="1"/>
      </rPr>
      <t>**</t>
    </r>
  </si>
  <si>
    <r>
      <rPr>
        <sz val="10"/>
        <rFont val="Times New Roman"/>
        <family val="1"/>
      </rPr>
      <t>Дневной стационар - случаи лечения</t>
    </r>
  </si>
  <si>
    <r>
      <rPr>
        <sz val="10"/>
        <rFont val="Times New Roman"/>
        <family val="1"/>
      </rPr>
      <t>0903</t>
    </r>
  </si>
  <si>
    <r>
      <rPr>
        <sz val="10"/>
        <rFont val="Times New Roman"/>
        <family val="1"/>
      </rPr>
      <t>Стационарная помощь, в том числе:</t>
    </r>
  </si>
  <si>
    <r>
      <rPr>
        <sz val="10"/>
        <rFont val="Times New Roman"/>
        <family val="1"/>
      </rPr>
      <t>0901</t>
    </r>
  </si>
  <si>
    <r>
      <rPr>
        <sz val="10"/>
        <rFont val="Times New Roman"/>
        <family val="1"/>
      </rPr>
      <t>койко-дни</t>
    </r>
  </si>
  <si>
    <r>
      <rPr>
        <sz val="10"/>
        <rFont val="Times New Roman"/>
        <family val="1"/>
      </rPr>
      <t>число пациентов</t>
    </r>
  </si>
  <si>
    <r>
      <rPr>
        <sz val="10"/>
        <rFont val="Times New Roman"/>
        <family val="1"/>
      </rPr>
      <t>Скорая медицинская помощь, в том числе:</t>
    </r>
  </si>
  <si>
    <r>
      <rPr>
        <sz val="10"/>
        <rFont val="Times New Roman"/>
        <family val="1"/>
      </rPr>
      <t>0904</t>
    </r>
  </si>
  <si>
    <r>
      <rPr>
        <sz val="10"/>
        <rFont val="Times New Roman"/>
        <family val="1"/>
      </rPr>
      <t>количество вызовов</t>
    </r>
  </si>
  <si>
    <r>
      <rPr>
        <sz val="10"/>
        <rFont val="Times New Roman"/>
        <family val="1"/>
      </rPr>
      <t>количество полетных часов</t>
    </r>
  </si>
  <si>
    <r>
      <rPr>
        <sz val="10"/>
        <rFont val="Times New Roman"/>
        <family val="1"/>
      </rPr>
      <t>Работы</t>
    </r>
  </si>
  <si>
    <r>
      <rPr>
        <sz val="10"/>
        <rFont val="Times New Roman"/>
        <family val="1"/>
      </rPr>
      <t>0906/0909</t>
    </r>
  </si>
  <si>
    <r>
      <rPr>
        <sz val="10"/>
        <rFont val="Times New Roman"/>
        <family val="1"/>
      </rPr>
      <t>литры</t>
    </r>
  </si>
  <si>
    <r>
      <rPr>
        <sz val="10"/>
        <rFont val="Times New Roman"/>
        <family val="1"/>
      </rPr>
      <t>0906</t>
    </r>
  </si>
  <si>
    <r>
      <rPr>
        <sz val="10"/>
        <rFont val="Times New Roman"/>
        <family val="1"/>
      </rPr>
      <t>количество вскрытий</t>
    </r>
  </si>
  <si>
    <r>
      <rPr>
        <sz val="10"/>
        <rFont val="Times New Roman"/>
        <family val="1"/>
      </rPr>
      <t>0909</t>
    </r>
  </si>
  <si>
    <r>
      <rPr>
        <sz val="10"/>
        <rFont val="Times New Roman"/>
        <family val="1"/>
      </rPr>
      <t>количество мероприятий</t>
    </r>
  </si>
  <si>
    <r>
      <rPr>
        <sz val="10"/>
        <rFont val="Times New Roman"/>
        <family val="1"/>
      </rPr>
      <t>количество освидетельствований</t>
    </r>
  </si>
  <si>
    <r>
      <rPr>
        <sz val="10"/>
        <rFont val="Times New Roman"/>
        <family val="1"/>
      </rPr>
      <t>ИТОГО по КВФО 4 (ГЗ)</t>
    </r>
  </si>
  <si>
    <r>
      <rPr>
        <sz val="10"/>
        <rFont val="Times New Roman"/>
        <family val="1"/>
      </rPr>
      <t>КВФО 2 (ПДД)</t>
    </r>
  </si>
  <si>
    <r>
      <rPr>
        <sz val="10"/>
        <rFont val="Times New Roman"/>
        <family val="1"/>
      </rPr>
      <t>Доходы от оказания услуг, выполнения работ реализации готовой продукции сверх установленного государственного задания, в том числе:</t>
    </r>
  </si>
  <si>
    <r>
      <rPr>
        <sz val="10"/>
        <rFont val="Times New Roman"/>
        <family val="1"/>
      </rPr>
      <t>Медицинские услуги (работы)</t>
    </r>
  </si>
  <si>
    <r>
      <rPr>
        <sz val="10"/>
        <rFont val="Times New Roman"/>
        <family val="1"/>
      </rPr>
      <t>Немедицинские услуги (работы)</t>
    </r>
  </si>
  <si>
    <r>
      <rPr>
        <sz val="10"/>
        <rFont val="Times New Roman"/>
        <family val="1"/>
      </rPr>
      <t>Итого</t>
    </r>
  </si>
  <si>
    <r>
      <rPr>
        <sz val="10"/>
        <rFont val="Times New Roman"/>
        <family val="1"/>
      </rPr>
      <t>Доходы от оказания медицинских услуг, предоставляемых женщинам в период беременности, женщинам и новорожденным в период родов и в послеродовой период</t>
    </r>
  </si>
  <si>
    <r>
      <rPr>
        <sz val="10"/>
        <rFont val="Times New Roman"/>
        <family val="1"/>
      </rPr>
      <t>ИТОГО по КВФО 2 (ПД)</t>
    </r>
  </si>
  <si>
    <r>
      <rPr>
        <sz val="10"/>
        <rFont val="Times New Roman"/>
        <family val="1"/>
      </rPr>
      <t>КВФ07 (ОМС)</t>
    </r>
  </si>
  <si>
    <r>
      <rPr>
        <sz val="10"/>
        <rFont val="Times New Roman"/>
        <family val="1"/>
      </rPr>
      <t>Доходы от оказания услуг по программе обязательного медицинского страхования</t>
    </r>
  </si>
  <si>
    <r>
      <rPr>
        <sz val="10"/>
        <rFont val="Times New Roman"/>
        <family val="1"/>
      </rPr>
      <t>Амбулаторная помощь</t>
    </r>
  </si>
  <si>
    <r>
      <rPr>
        <sz val="10"/>
        <rFont val="Times New Roman"/>
        <family val="1"/>
      </rPr>
      <t>Дневной стационар</t>
    </r>
  </si>
  <si>
    <r>
      <rPr>
        <sz val="10"/>
        <rFont val="Times New Roman"/>
        <family val="1"/>
      </rPr>
      <t>Стационарная помощь</t>
    </r>
  </si>
  <si>
    <r>
      <rPr>
        <sz val="10"/>
        <rFont val="Times New Roman"/>
        <family val="1"/>
      </rPr>
      <t>Вне медицинской организации (Скорая медицинская помощь)</t>
    </r>
  </si>
  <si>
    <r>
      <rPr>
        <b/>
        <sz val="10"/>
        <rFont val="Times New Roman"/>
        <family val="1"/>
      </rPr>
      <t>ИТОГО по КВФО 7 (ОМС)</t>
    </r>
  </si>
  <si>
    <r>
      <rPr>
        <b/>
        <sz val="10"/>
        <rFont val="Times New Roman"/>
        <family val="1"/>
      </rPr>
      <t>ВСЕГО но 130 КОСГУ:</t>
    </r>
  </si>
  <si>
    <r>
      <rPr>
        <sz val="11"/>
        <rFont val="Times New Roman"/>
        <family val="1"/>
      </rPr>
      <t>* - Усредненный показатель</t>
    </r>
  </si>
  <si>
    <r>
      <rPr>
        <sz val="11"/>
        <rFont val="Times New Roman"/>
        <family val="1"/>
      </rPr>
      <t>** - Иные аналогичные показатели</t>
    </r>
  </si>
  <si>
    <r>
      <rPr>
        <sz val="10"/>
        <rFont val="Times New Roman"/>
        <family val="1"/>
      </rPr>
      <t>В случае необходимости внесения дополнительного наименования показателя учреждение самостоятельно добавляет строки.</t>
    </r>
  </si>
  <si>
    <r>
      <rPr>
        <sz val="10"/>
        <rFont val="Times New Roman"/>
        <family val="1"/>
      </rPr>
      <t>Приложение заполняется на текущий финансовый год и каждый год планового периода.</t>
    </r>
  </si>
  <si>
    <t>(период)</t>
  </si>
  <si>
    <r>
      <rPr>
        <b/>
        <sz val="12"/>
        <rFont val="Times New Roman"/>
        <family val="1"/>
      </rPr>
      <t>Расчеты (обоснования) доходов от оказания услуг (работ)</t>
    </r>
  </si>
  <si>
    <r>
      <rPr>
        <sz val="11"/>
        <rFont val="Times New Roman"/>
        <family val="1"/>
      </rPr>
      <t>Приложение № 5</t>
    </r>
  </si>
  <si>
    <r>
      <rPr>
        <sz val="9"/>
        <rFont val="Times New Roman"/>
        <family val="1"/>
      </rPr>
      <t>Должность, группа должностей</t>
    </r>
  </si>
  <si>
    <r>
      <rPr>
        <sz val="9"/>
        <rFont val="Times New Roman"/>
        <family val="1"/>
      </rPr>
      <t>Установленная штатная численность, единиц</t>
    </r>
  </si>
  <si>
    <r>
      <rPr>
        <sz val="9"/>
        <rFont val="Times New Roman"/>
        <family val="1"/>
      </rPr>
      <t>Фонд оплаты труда по тарификации на 1 месяц, тыс. руб.</t>
    </r>
  </si>
  <si>
    <r>
      <rPr>
        <sz val="9"/>
        <rFont val="Times New Roman"/>
        <family val="1"/>
      </rPr>
      <t>Дополнительные выплаты, тыс. руб. *</t>
    </r>
  </si>
  <si>
    <r>
      <rPr>
        <sz val="9"/>
        <rFont val="Times New Roman"/>
        <family val="1"/>
      </rPr>
      <t>Фонд оплаты труда в год (без начислений), тыс. руб.</t>
    </r>
  </si>
  <si>
    <r>
      <rPr>
        <sz val="9"/>
        <rFont val="Times New Roman"/>
        <family val="1"/>
      </rPr>
      <t>Всего, в том числе:</t>
    </r>
  </si>
  <si>
    <r>
      <rPr>
        <sz val="9"/>
        <rFont val="Times New Roman"/>
        <family val="1"/>
      </rPr>
      <t>Главный врач</t>
    </r>
  </si>
  <si>
    <r>
      <rPr>
        <sz val="9"/>
        <rFont val="Times New Roman"/>
        <family val="1"/>
      </rPr>
      <t>Заместитель главного врача (мед. персонал)</t>
    </r>
  </si>
  <si>
    <r>
      <rPr>
        <sz val="9"/>
        <rFont val="Times New Roman"/>
        <family val="1"/>
      </rPr>
      <t>Заместитель главного врача (с немед. образованием)</t>
    </r>
  </si>
  <si>
    <r>
      <rPr>
        <sz val="9"/>
        <rFont val="Times New Roman"/>
        <family val="1"/>
      </rPr>
      <t>Врачи и специалисты (с высшим образованием), предоставляющие мед. услуги (обеспечивающие предоставление мед. услуг</t>
    </r>
  </si>
  <si>
    <r>
      <rPr>
        <sz val="9"/>
        <rFont val="Times New Roman"/>
        <family val="1"/>
      </rPr>
      <t>Главная медсестра</t>
    </r>
  </si>
  <si>
    <r>
      <rPr>
        <sz val="9"/>
        <rFont val="Times New Roman"/>
        <family val="1"/>
      </rPr>
      <t>Младший медперсонал</t>
    </r>
  </si>
  <si>
    <r>
      <rPr>
        <sz val="9"/>
        <rFont val="Times New Roman"/>
        <family val="1"/>
      </rPr>
      <t>Главный бухгалтер</t>
    </r>
  </si>
  <si>
    <r>
      <rPr>
        <sz val="9"/>
        <rFont val="Times New Roman"/>
        <family val="1"/>
      </rPr>
      <t>Педагогические работники домов ребенка</t>
    </r>
  </si>
  <si>
    <r>
      <rPr>
        <sz val="9"/>
        <rFont val="Times New Roman"/>
        <family val="1"/>
      </rPr>
      <t>Начальники отделов</t>
    </r>
  </si>
  <si>
    <r>
      <rPr>
        <sz val="9"/>
        <rFont val="Times New Roman"/>
        <family val="1"/>
      </rPr>
      <t>Прочий персонал (служащие)</t>
    </r>
  </si>
  <si>
    <r>
      <rPr>
        <sz val="9"/>
        <rFont val="Times New Roman"/>
        <family val="1"/>
      </rPr>
      <t>Прочий персонал (рабочие)</t>
    </r>
  </si>
  <si>
    <r>
      <rPr>
        <sz val="9"/>
        <rFont val="Times New Roman"/>
        <family val="1"/>
      </rPr>
      <t>Заместитель главного врача (с немедицинским образованием)</t>
    </r>
  </si>
  <si>
    <r>
      <rPr>
        <sz val="9"/>
        <rFont val="Times New Roman"/>
        <family val="1"/>
      </rPr>
      <t>Средний медперсонал и специалисты (со средним образованием), предоставляющие мед. услуги (обеспечивающие предоставление мед. услуг)</t>
    </r>
  </si>
  <si>
    <t>Страховые взносы по обязательному социальному страхованию на выплаты по оплате труда работников и иные выплаты работникам учреждений, руб.</t>
  </si>
  <si>
    <t xml:space="preserve">   (подпись)                                       (фамилия, имя, отчество (при наличии))</t>
  </si>
  <si>
    <t>Средний медперсонал и специалисты (со средним образованием), предоставляющие мед. услуги (обеспечивающие предоставление мед. услуг)</t>
  </si>
  <si>
    <r>
      <rPr>
        <b/>
        <i/>
        <sz val="9"/>
        <rFont val="Times New Roman"/>
        <family val="1"/>
      </rPr>
      <t>Государственное задание, всего:</t>
    </r>
  </si>
  <si>
    <r>
      <rPr>
        <b/>
        <i/>
        <sz val="9"/>
        <rFont val="Times New Roman"/>
        <family val="1"/>
      </rPr>
      <t>Предпринимательская и иная приносящая доход деятельность:</t>
    </r>
  </si>
  <si>
    <r>
      <rPr>
        <b/>
        <i/>
        <sz val="9"/>
        <rFont val="Times New Roman"/>
        <family val="1"/>
      </rPr>
      <t>Средства ОМС</t>
    </r>
  </si>
  <si>
    <t>№</t>
  </si>
  <si>
    <t>Основная единица расчета</t>
  </si>
  <si>
    <t xml:space="preserve"> (фамилия, имя, отчество (при наличии))</t>
  </si>
  <si>
    <r>
      <rPr>
        <sz val="10"/>
        <rFont val="Times New Roman"/>
        <family val="1"/>
      </rPr>
      <t>2023 год (текущий год)</t>
    </r>
  </si>
  <si>
    <r>
      <rPr>
        <sz val="10"/>
        <rFont val="Times New Roman"/>
        <family val="1"/>
      </rPr>
      <t>2024 год (1-й год планового периода)</t>
    </r>
  </si>
  <si>
    <r>
      <rPr>
        <sz val="10"/>
        <rFont val="Times New Roman"/>
        <family val="1"/>
      </rPr>
      <t>2025 год (2-й год планового периода)</t>
    </r>
  </si>
  <si>
    <r>
      <rPr>
        <sz val="10"/>
        <rFont val="Cambria"/>
        <family val="1"/>
      </rPr>
      <t>3</t>
    </r>
  </si>
  <si>
    <t xml:space="preserve">(телефон)                                             </t>
  </si>
  <si>
    <t xml:space="preserve">                        (подпись)     </t>
  </si>
  <si>
    <r>
      <rPr>
        <sz val="11"/>
        <rFont val="Times New Roman"/>
        <family val="1"/>
      </rPr>
      <t>здравоохранения Томской области    осуществляет</t>
    </r>
  </si>
  <si>
    <r>
      <rPr>
        <b/>
        <sz val="12"/>
        <rFont val="Times New Roman"/>
        <family val="1"/>
      </rPr>
      <t>Расчеты (обоснования) расходов на иные закупки товаров, работ и услуг для обеспечения государственных нужд</t>
    </r>
  </si>
  <si>
    <r>
      <rPr>
        <sz val="10"/>
        <rFont val="Times New Roman"/>
        <family val="1"/>
      </rPr>
      <t>Наименование расходов*</t>
    </r>
  </si>
  <si>
    <r>
      <rPr>
        <sz val="10"/>
        <rFont val="Times New Roman"/>
        <family val="1"/>
      </rPr>
      <t>Количество</t>
    </r>
  </si>
  <si>
    <r>
      <rPr>
        <b/>
        <sz val="10"/>
        <rFont val="Times New Roman"/>
        <family val="1"/>
      </rPr>
      <t>КВФО 4</t>
    </r>
  </si>
  <si>
    <r>
      <rPr>
        <b/>
        <sz val="10"/>
        <rFont val="Times New Roman"/>
        <family val="1"/>
      </rPr>
      <t>Государственное задание, всего:</t>
    </r>
  </si>
  <si>
    <r>
      <rPr>
        <b/>
        <sz val="10"/>
        <rFont val="Times New Roman"/>
        <family val="1"/>
      </rPr>
      <t>КВФО 7</t>
    </r>
  </si>
  <si>
    <r>
      <rPr>
        <b/>
        <sz val="10"/>
        <rFont val="Times New Roman"/>
        <family val="1"/>
      </rPr>
      <t>ОМС, всего:</t>
    </r>
  </si>
  <si>
    <r>
      <rPr>
        <b/>
        <sz val="10"/>
        <rFont val="Times New Roman"/>
        <family val="1"/>
      </rPr>
      <t>КВФО 2</t>
    </r>
  </si>
  <si>
    <r>
      <rPr>
        <b/>
        <sz val="10"/>
        <rFont val="Times New Roman"/>
        <family val="1"/>
      </rPr>
      <t>Предпринимательская и иная приносящая доход деятельность, всего:</t>
    </r>
  </si>
  <si>
    <r>
      <rPr>
        <sz val="11"/>
        <rFont val="Times New Roman"/>
        <family val="1"/>
      </rPr>
      <t>Приложение № 8</t>
    </r>
  </si>
  <si>
    <r>
      <rPr>
        <b/>
        <sz val="12"/>
        <rFont val="Times New Roman"/>
        <family val="1"/>
      </rPr>
      <t>Расчеты (обоснования) расходов на услуги связи</t>
    </r>
  </si>
  <si>
    <r>
      <rPr>
        <sz val="10"/>
        <rFont val="Times New Roman"/>
        <family val="1"/>
      </rPr>
      <t>Количество (шт)</t>
    </r>
  </si>
  <si>
    <r>
      <rPr>
        <sz val="10"/>
        <rFont val="Times New Roman"/>
        <family val="1"/>
      </rPr>
      <t>Количество платежей (месяцев использования) в год.</t>
    </r>
  </si>
  <si>
    <r>
      <rPr>
        <sz val="10"/>
        <rFont val="Times New Roman"/>
        <family val="1"/>
      </rPr>
      <t>Цена за единицу, руб.</t>
    </r>
  </si>
  <si>
    <r>
      <rPr>
        <sz val="10"/>
        <rFont val="Times New Roman"/>
        <family val="1"/>
      </rPr>
      <t>Количество платежей (месяцев использования ) в год.</t>
    </r>
  </si>
  <si>
    <r>
      <rPr>
        <sz val="10"/>
        <rFont val="Times New Roman"/>
        <family val="1"/>
      </rPr>
      <t>Количе ство (шт)</t>
    </r>
  </si>
  <si>
    <r>
      <rPr>
        <b/>
        <i/>
        <sz val="10"/>
        <rFont val="Times New Roman"/>
        <family val="1"/>
      </rPr>
      <t>Государственное задание, всего:</t>
    </r>
  </si>
  <si>
    <r>
      <rPr>
        <sz val="10"/>
        <rFont val="Times New Roman"/>
        <family val="1"/>
      </rPr>
      <t>Абонентская плата за номер</t>
    </r>
  </si>
  <si>
    <r>
      <rPr>
        <sz val="10"/>
        <rFont val="Times New Roman"/>
        <family val="1"/>
      </rPr>
      <t>Повременная оплата междугородных, международных и местных телефонных соединений</t>
    </r>
  </si>
  <si>
    <r>
      <rPr>
        <sz val="10"/>
        <rFont val="Times New Roman"/>
        <family val="1"/>
      </rPr>
      <t>Оплата сотовой связи по тарифам</t>
    </r>
  </si>
  <si>
    <r>
      <rPr>
        <sz val="10"/>
        <rFont val="Times New Roman"/>
        <family val="1"/>
      </rPr>
      <t>Пересылка почтовой корреспонденции</t>
    </r>
  </si>
  <si>
    <r>
      <rPr>
        <sz val="10"/>
        <rFont val="Times New Roman"/>
        <family val="1"/>
      </rPr>
      <t>Другие аналогичные (существенные) услуги:</t>
    </r>
  </si>
  <si>
    <r>
      <rPr>
        <b/>
        <i/>
        <sz val="10"/>
        <rFont val="Times New Roman"/>
        <family val="1"/>
      </rPr>
      <t>ОМС, всего:</t>
    </r>
  </si>
  <si>
    <r>
      <rPr>
        <sz val="10"/>
        <rFont val="Times New Roman"/>
        <family val="1"/>
      </rPr>
      <t>Услуги интернет-провайдеров, аренда интернет-канала, интернет услуги, интернет-трафик и прочее</t>
    </r>
  </si>
  <si>
    <r>
      <rPr>
        <b/>
        <i/>
        <sz val="10"/>
        <rFont val="Times New Roman"/>
        <family val="1"/>
      </rPr>
      <t>Предпринимательская и иная приносящая доход деятельность, всего:</t>
    </r>
  </si>
  <si>
    <r>
      <rPr>
        <sz val="10"/>
        <rFont val="Times New Roman"/>
        <family val="1"/>
      </rPr>
      <t>ВСЕГО</t>
    </r>
  </si>
  <si>
    <t>Услуги интернет-провайдеров, аренда интернет-канала, интернет услуги, интернет-трафик и прочее</t>
  </si>
  <si>
    <r>
      <rPr>
        <sz val="11"/>
        <rFont val="Times New Roman"/>
        <family val="1"/>
      </rPr>
      <t>Приложение № 9</t>
    </r>
  </si>
  <si>
    <r>
      <rPr>
        <sz val="11"/>
        <rFont val="Times New Roman"/>
        <family val="1"/>
      </rPr>
      <t>учреждений, в отношении которых Департамент здра-</t>
    </r>
  </si>
  <si>
    <r>
      <rPr>
        <sz val="11"/>
        <rFont val="Times New Roman"/>
        <family val="1"/>
      </rPr>
      <t>воохранения Томской области осуществляет функции и</t>
    </r>
  </si>
  <si>
    <r>
      <rPr>
        <sz val="11"/>
        <rFont val="Times New Roman"/>
        <family val="1"/>
      </rPr>
      <t>полномочия учредителя</t>
    </r>
  </si>
  <si>
    <r>
      <rPr>
        <sz val="10"/>
        <rFont val="Times New Roman"/>
        <family val="1"/>
      </rPr>
      <t>(наименование учреждения)</t>
    </r>
  </si>
  <si>
    <r>
      <rPr>
        <sz val="10"/>
        <rFont val="Times New Roman"/>
        <family val="1"/>
      </rPr>
      <t>Наименование услуг/источник финансирования</t>
    </r>
  </si>
  <si>
    <r>
      <rPr>
        <sz val="10"/>
        <rFont val="Times New Roman"/>
        <family val="1"/>
      </rPr>
      <t>Размер потребления ресурсов</t>
    </r>
  </si>
  <si>
    <r>
      <rPr>
        <sz val="10"/>
        <rFont val="Times New Roman"/>
        <family val="1"/>
      </rPr>
      <t>Тариф** (с учетом НДС), руб.</t>
    </r>
  </si>
  <si>
    <r>
      <rPr>
        <sz val="10"/>
        <rFont val="Times New Roman"/>
        <family val="1"/>
      </rPr>
      <t>Сум ма, руб.</t>
    </r>
  </si>
  <si>
    <r>
      <rPr>
        <sz val="10"/>
        <rFont val="Times New Roman"/>
        <family val="1"/>
      </rPr>
      <t>Горячее водоснабжение (ГВС, ГКал), всего</t>
    </r>
  </si>
  <si>
    <r>
      <rPr>
        <sz val="10"/>
        <rFont val="Times New Roman"/>
        <family val="1"/>
      </rPr>
      <t>Холодное водоснабжение (м.куб), всего</t>
    </r>
  </si>
  <si>
    <r>
      <rPr>
        <sz val="10"/>
        <rFont val="Times New Roman"/>
        <family val="1"/>
      </rPr>
      <t>Холодное водоснабжение (для нужд) ГВС (м.куб), всего</t>
    </r>
  </si>
  <si>
    <r>
      <rPr>
        <sz val="10"/>
        <rFont val="Times New Roman"/>
        <family val="1"/>
      </rPr>
      <t>Водоотведение (м.куб), всего</t>
    </r>
  </si>
  <si>
    <r>
      <rPr>
        <sz val="10"/>
        <rFont val="Times New Roman"/>
        <family val="1"/>
      </rPr>
      <t>Отопление (ГКал), всего</t>
    </r>
  </si>
  <si>
    <r>
      <rPr>
        <sz val="10"/>
        <rFont val="Times New Roman"/>
        <family val="1"/>
      </rPr>
      <t>Газ (м.куб), всего</t>
    </r>
  </si>
  <si>
    <r>
      <rPr>
        <sz val="10"/>
        <rFont val="Times New Roman"/>
        <family val="1"/>
      </rPr>
      <t>Электрическая энергия</t>
    </r>
  </si>
  <si>
    <r>
      <rPr>
        <sz val="10"/>
        <rFont val="Times New Roman"/>
        <family val="1"/>
      </rPr>
      <t>Вывоз твердых коммунальных отходов</t>
    </r>
  </si>
  <si>
    <r>
      <rPr>
        <b/>
        <sz val="12"/>
        <rFont val="Times New Roman"/>
        <family val="1"/>
      </rPr>
      <t>Расчеты (обоснования) расходов на коммунальные услуги</t>
    </r>
  </si>
  <si>
    <r>
      <rPr>
        <b/>
        <sz val="10"/>
        <rFont val="Times New Roman"/>
        <family val="1"/>
      </rPr>
      <t>ВСЕГО</t>
    </r>
  </si>
  <si>
    <r>
      <rPr>
        <sz val="10"/>
        <rFont val="Cambria"/>
        <family val="1"/>
      </rPr>
      <t>Приложение № 10</t>
    </r>
  </si>
  <si>
    <r>
      <rPr>
        <sz val="10"/>
        <rFont val="Cambria"/>
        <family val="1"/>
      </rPr>
      <t>к Порядку составления, утверждения и ведения плана</t>
    </r>
  </si>
  <si>
    <r>
      <rPr>
        <sz val="10"/>
        <rFont val="Cambria"/>
        <family val="1"/>
      </rPr>
      <t>финансово-хозяйственной деятельности областных</t>
    </r>
  </si>
  <si>
    <r>
      <rPr>
        <sz val="10"/>
        <rFont val="Cambria"/>
        <family val="1"/>
      </rPr>
      <t>государственных бюджетных и автономных</t>
    </r>
  </si>
  <si>
    <r>
      <rPr>
        <sz val="10"/>
        <rFont val="Cambria"/>
        <family val="1"/>
      </rPr>
      <t>учреждений, в отношении которых Департамент</t>
    </r>
  </si>
  <si>
    <r>
      <rPr>
        <sz val="10"/>
        <rFont val="Cambria"/>
        <family val="1"/>
      </rPr>
      <t>здравоохранения Томской области осуществляет</t>
    </r>
  </si>
  <si>
    <r>
      <rPr>
        <sz val="10"/>
        <rFont val="Cambria"/>
        <family val="1"/>
      </rPr>
      <t>функции и полномочия учредителя</t>
    </r>
  </si>
  <si>
    <r>
      <rPr>
        <sz val="10"/>
        <rFont val="Cambria"/>
        <family val="1"/>
      </rPr>
      <t>(наименование учреждения)</t>
    </r>
  </si>
  <si>
    <r>
      <rPr>
        <sz val="10"/>
        <rFont val="Cambria"/>
        <family val="1"/>
      </rPr>
      <t>Наименование расходов*</t>
    </r>
  </si>
  <si>
    <r>
      <rPr>
        <sz val="10"/>
        <rFont val="Cambria"/>
        <family val="1"/>
      </rPr>
      <t>КФСР</t>
    </r>
  </si>
  <si>
    <r>
      <rPr>
        <sz val="10"/>
        <rFont val="Cambria"/>
        <family val="1"/>
      </rPr>
      <t>2023 год (текущий год)</t>
    </r>
  </si>
  <si>
    <r>
      <rPr>
        <sz val="10"/>
        <rFont val="Cambria"/>
        <family val="1"/>
      </rPr>
      <t>2024 год (1-й год планового периода)</t>
    </r>
  </si>
  <si>
    <r>
      <rPr>
        <sz val="10"/>
        <rFont val="Cambria"/>
        <family val="1"/>
      </rPr>
      <t>2025 год (1-й год планового периода)</t>
    </r>
  </si>
  <si>
    <r>
      <rPr>
        <sz val="10"/>
        <rFont val="Cambria"/>
        <family val="1"/>
      </rPr>
      <t>Количество</t>
    </r>
  </si>
  <si>
    <r>
      <rPr>
        <sz val="10"/>
        <rFont val="Cambria"/>
        <family val="1"/>
      </rPr>
      <t>Стоимость услуги, руб.</t>
    </r>
  </si>
  <si>
    <r>
      <rPr>
        <sz val="10"/>
        <rFont val="Cambria"/>
        <family val="1"/>
      </rPr>
      <t>Сумма, руб.</t>
    </r>
  </si>
  <si>
    <r>
      <rPr>
        <sz val="10"/>
        <rFont val="Cambria"/>
        <family val="1"/>
      </rPr>
      <t>1</t>
    </r>
  </si>
  <si>
    <r>
      <rPr>
        <sz val="10"/>
        <rFont val="Cambria"/>
        <family val="1"/>
      </rPr>
      <t>Содержание нефинансовых активов в чистоте:</t>
    </r>
  </si>
  <si>
    <r>
      <rPr>
        <sz val="10"/>
        <rFont val="Cambria"/>
        <family val="1"/>
      </rPr>
      <t>- уборка (вывоз) снега, мусора, отходов производства и т.д.</t>
    </r>
  </si>
  <si>
    <r>
      <rPr>
        <sz val="10"/>
        <rFont val="Cambria"/>
        <family val="1"/>
      </rPr>
      <t>- дезинфекция, дезинсекция, дератизация и т.д.</t>
    </r>
  </si>
  <si>
    <r>
      <rPr>
        <sz val="10"/>
        <rFont val="Cambria"/>
        <family val="1"/>
      </rPr>
      <t>- санитарно-гигиеническое обслуживание, мойка, чистка имущества и т.д.</t>
    </r>
  </si>
  <si>
    <r>
      <rPr>
        <sz val="10"/>
        <rFont val="Cambria"/>
        <family val="1"/>
      </rPr>
      <t>2</t>
    </r>
  </si>
  <si>
    <r>
      <rPr>
        <sz val="10"/>
        <rFont val="Cambria"/>
        <family val="1"/>
      </rPr>
      <t>Ремонт (текущий и капитальный) и реставрация нефинансовых активов:</t>
    </r>
  </si>
  <si>
    <r>
      <rPr>
        <sz val="10"/>
        <rFont val="Cambria"/>
        <family val="1"/>
      </rPr>
      <t>- устранение неисправностей</t>
    </r>
  </si>
  <si>
    <r>
      <rPr>
        <sz val="10"/>
        <rFont val="Cambria"/>
        <family val="1"/>
      </rPr>
      <t>Противопожарные мероприятия, связанные с содержанием имущества</t>
    </r>
  </si>
  <si>
    <r>
      <rPr>
        <sz val="10"/>
        <rFont val="Cambria"/>
        <family val="1"/>
      </rPr>
      <t>4</t>
    </r>
  </si>
  <si>
    <r>
      <rPr>
        <sz val="10"/>
        <rFont val="Cambria"/>
        <family val="1"/>
      </rPr>
      <t>Пусконаладочные работы</t>
    </r>
  </si>
  <si>
    <r>
      <rPr>
        <sz val="10"/>
        <rFont val="Cambria"/>
        <family val="1"/>
      </rPr>
      <t>5</t>
    </r>
  </si>
  <si>
    <r>
      <rPr>
        <sz val="10"/>
        <rFont val="Cambria"/>
        <family val="1"/>
      </rPr>
      <t>Расходы по эксплуатации имущества:</t>
    </r>
  </si>
  <si>
    <r>
      <rPr>
        <sz val="10"/>
        <rFont val="Cambria"/>
        <family val="1"/>
      </rPr>
      <t>- госповерка, паспортизация, клеймение средств измерений</t>
    </r>
  </si>
  <si>
    <r>
      <rPr>
        <sz val="10"/>
        <rFont val="Cambria"/>
        <family val="1"/>
      </rPr>
      <t>- обследование технического состояния (аттестация), энергетическое обследование, проведение бактериологических исследований и т.д.</t>
    </r>
  </si>
  <si>
    <r>
      <rPr>
        <sz val="10"/>
        <rFont val="Cambria"/>
        <family val="1"/>
      </rPr>
      <t>- замазка (оклейка) окон, заправка картриджей</t>
    </r>
  </si>
  <si>
    <r>
      <rPr>
        <sz val="10"/>
        <rFont val="Cambria"/>
        <family val="1"/>
      </rPr>
      <t>6</t>
    </r>
  </si>
  <si>
    <r>
      <rPr>
        <sz val="10"/>
        <rFont val="Cambria"/>
        <family val="1"/>
      </rPr>
      <t>Другие аналогичные расходы:</t>
    </r>
  </si>
  <si>
    <r>
      <rPr>
        <sz val="10"/>
        <rFont val="Cambria"/>
        <family val="1"/>
      </rPr>
      <t>- дезинфекция, дезинсекция, дератизация ит.д.</t>
    </r>
  </si>
  <si>
    <r>
      <rPr>
        <sz val="10"/>
        <rFont val="Cambria"/>
        <family val="1"/>
      </rPr>
      <t>- поддержание техникоэкономических (эксплуатационных) показателей объектов, некапитальная перепланировка помещений, реставрационные работы и Т.Д.</t>
    </r>
  </si>
  <si>
    <r>
      <rPr>
        <sz val="10"/>
        <rFont val="Cambria"/>
        <family val="1"/>
      </rPr>
      <t>ВСЕГО</t>
    </r>
  </si>
  <si>
    <r>
      <rPr>
        <b/>
        <sz val="10"/>
        <rFont val="Cambria"/>
        <family val="1"/>
      </rPr>
      <t>КВФО 4</t>
    </r>
  </si>
  <si>
    <r>
      <rPr>
        <b/>
        <sz val="10"/>
        <rFont val="Cambria"/>
        <family val="1"/>
      </rPr>
      <t>Государственное задание, всего:</t>
    </r>
  </si>
  <si>
    <r>
      <rPr>
        <b/>
        <sz val="10"/>
        <rFont val="Cambria"/>
        <family val="1"/>
      </rPr>
      <t>КВФО 7</t>
    </r>
  </si>
  <si>
    <r>
      <rPr>
        <b/>
        <sz val="10"/>
        <rFont val="Cambria"/>
        <family val="1"/>
      </rPr>
      <t>ОМС, всего:</t>
    </r>
  </si>
  <si>
    <r>
      <rPr>
        <b/>
        <sz val="10"/>
        <rFont val="Cambria"/>
        <family val="1"/>
      </rPr>
      <t>КВФО 2</t>
    </r>
  </si>
  <si>
    <r>
      <rPr>
        <b/>
        <sz val="10"/>
        <rFont val="Cambria"/>
        <family val="1"/>
      </rPr>
      <t>Предпринимательская и иная приносящая доход деятельность, всего:</t>
    </r>
  </si>
  <si>
    <r>
      <rPr>
        <b/>
        <sz val="12"/>
        <rFont val="Cambria"/>
        <family val="1"/>
      </rPr>
      <t>Расчеты (обоснования) расходов на работы, услуги по содержанию имущества (225)</t>
    </r>
  </si>
  <si>
    <t xml:space="preserve"> - устранение неисправностей           - поддержание техникоэкономических  (эксплуатационных) показателей объектов, некапитальная перепланировка помещений, реставрационные работы и т.д.</t>
  </si>
  <si>
    <t>поддержание техникоэкономических                  (эксплуатационных) показателей объектов, некапитальная перепланировка помещений, реставрационные работы и т.д.</t>
  </si>
  <si>
    <t>устранение неисправностей</t>
  </si>
  <si>
    <t>госповерка, паспортизация, клеймение средств измерений</t>
  </si>
  <si>
    <t>обследование технического состояния (аттестация), энергетическое обследование, проведение бактериологических исследований и т.д.</t>
  </si>
  <si>
    <r>
      <rPr>
        <sz val="11"/>
        <rFont val="Times New Roman"/>
        <family val="1"/>
      </rPr>
      <t>Приложение № 11</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</si>
  <si>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</si>
  <si>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</si>
  <si>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</si>
  <si>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</si>
  <si>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</si>
  <si>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</si>
  <si>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1"/>
        <rFont val="Times New Roman"/>
        <family val="1"/>
      </rPr>
      <t>(наименование учреждения)</t>
    </r>
  </si>
  <si>
    <r>
      <rPr>
        <b/>
        <sz val="12"/>
        <rFont val="Times New Roman"/>
        <family val="1"/>
      </rPr>
      <t>Расчеты (обоснования) расходов на оплату прочих работ, услуг</t>
    </r>
  </si>
  <si>
    <r>
      <rPr>
        <b/>
        <sz val="9"/>
        <rFont val="Times New Roman"/>
        <family val="1"/>
      </rPr>
      <t>КВФО 7</t>
    </r>
  </si>
  <si>
    <r>
      <rPr>
        <b/>
        <sz val="9"/>
        <rFont val="Times New Roman"/>
        <family val="1"/>
      </rPr>
      <t>ОМС, всего:</t>
    </r>
  </si>
  <si>
    <r>
      <rPr>
        <b/>
        <sz val="9"/>
        <rFont val="Times New Roman"/>
        <family val="1"/>
      </rPr>
      <t>КВФО 2</t>
    </r>
  </si>
  <si>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и т. д. (расписать построчно имеющиеся):</t>
  </si>
  <si>
    <t>Возмещение персоналу расходов, связанных со служебными командировками</t>
  </si>
  <si>
    <r>
      <rPr>
        <sz val="10"/>
        <rFont val="Times New Roman"/>
        <family val="1"/>
      </rPr>
      <t>Наименование работ, услуг/источник финансирования*</t>
    </r>
  </si>
  <si>
    <r>
      <rPr>
        <sz val="10"/>
        <rFont val="Times New Roman"/>
        <family val="1"/>
      </rPr>
      <t>Стоимость услуги*</t>
    </r>
  </si>
  <si>
    <r>
      <rPr>
        <sz val="10"/>
        <rFont val="Times New Roman"/>
        <family val="1"/>
      </rPr>
      <t>Возмещение персоналу расходов, связанных со служебными командиров ками</t>
    </r>
  </si>
  <si>
    <r>
      <rPr>
        <sz val="10"/>
        <rFont val="Times New Roman"/>
        <family val="1"/>
      </rPr>
      <t>Услуги обучения, повышения квалификации кадров и профессиональная переподготовка персонала</t>
    </r>
  </si>
  <si>
    <r>
      <rPr>
        <sz val="10"/>
        <rFont val="Times New Roman"/>
        <family val="1"/>
      </rPr>
      <t>Услуги в области информационных технологий</t>
    </r>
  </si>
  <si>
    <r>
      <rPr>
        <sz val="10"/>
        <rFont val="Times New Roman"/>
        <family val="1"/>
      </rPr>
      <t>Типографские работы, услуги</t>
    </r>
  </si>
  <si>
    <r>
      <rPr>
        <sz val="10"/>
        <rFont val="Times New Roman"/>
        <family val="1"/>
      </rPr>
      <t>Возмещение персоналу расходов, связанных со служебными командировками</t>
    </r>
  </si>
  <si>
    <r>
      <rPr>
        <sz val="10"/>
        <rFont val="Times New Roman"/>
        <family val="1"/>
      </rPr>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и т. д. (расписать построчно имеющиеся):</t>
    </r>
  </si>
  <si>
    <r>
      <rPr>
        <sz val="10"/>
        <rFont val="Times New Roman"/>
        <family val="1"/>
      </rPr>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медицинские осмотры и т. д. (расписать построчно имеющиеся):</t>
    </r>
  </si>
  <si>
    <r>
      <rPr>
        <sz val="11"/>
        <rFont val="Times New Roman"/>
        <family val="1"/>
      </rPr>
      <t>Приложение № 12 к Порядку составления,</t>
    </r>
  </si>
  <si>
    <r>
      <rPr>
        <sz val="11"/>
        <rFont val="Times New Roman"/>
        <family val="1"/>
      </rPr>
      <t>утверждения и ведения плана финансово-</t>
    </r>
  </si>
  <si>
    <r>
      <rPr>
        <sz val="11"/>
        <rFont val="Times New Roman"/>
        <family val="1"/>
      </rPr>
      <t>хозяйственной деятельности областных</t>
    </r>
  </si>
  <si>
    <r>
      <rPr>
        <sz val="9"/>
        <rFont val="Times New Roman"/>
        <family val="1"/>
      </rPr>
      <t>№</t>
    </r>
  </si>
  <si>
    <r>
      <rPr>
        <sz val="9"/>
        <rFont val="Times New Roman"/>
        <family val="1"/>
      </rPr>
      <t>Наименование расходов*</t>
    </r>
  </si>
  <si>
    <r>
      <rPr>
        <sz val="9"/>
        <rFont val="Times New Roman"/>
        <family val="1"/>
      </rPr>
      <t>КФСР</t>
    </r>
  </si>
  <si>
    <r>
      <rPr>
        <sz val="9"/>
        <rFont val="Times New Roman"/>
        <family val="1"/>
      </rPr>
      <t>2023 год (текущий год)</t>
    </r>
  </si>
  <si>
    <r>
      <rPr>
        <sz val="9"/>
        <rFont val="Times New Roman"/>
        <family val="1"/>
      </rPr>
      <t>2024 год (1-й год планового периода)</t>
    </r>
  </si>
  <si>
    <r>
      <rPr>
        <sz val="9"/>
        <rFont val="Times New Roman"/>
        <family val="1"/>
      </rPr>
      <t>2025 год (1-й год планового периода)</t>
    </r>
  </si>
  <si>
    <r>
      <rPr>
        <sz val="9"/>
        <rFont val="Times New Roman"/>
        <family val="1"/>
      </rPr>
      <t>Количество</t>
    </r>
  </si>
  <si>
    <r>
      <rPr>
        <sz val="9"/>
        <rFont val="Times New Roman"/>
        <family val="1"/>
      </rPr>
      <t>Сумма, руб.</t>
    </r>
  </si>
  <si>
    <r>
      <rPr>
        <sz val="9"/>
        <rFont val="Times New Roman"/>
        <family val="1"/>
      </rPr>
      <t>Средняя стоимость, руб.</t>
    </r>
  </si>
  <si>
    <r>
      <rPr>
        <sz val="9"/>
        <rFont val="Times New Roman"/>
        <family val="1"/>
      </rPr>
      <t>1</t>
    </r>
  </si>
  <si>
    <r>
      <rPr>
        <sz val="9"/>
        <rFont val="Times New Roman"/>
        <family val="1"/>
      </rPr>
      <t>Приобретение медицинского оборудования (оборудования для образовательного процесса) всего, в том числе:</t>
    </r>
  </si>
  <si>
    <r>
      <rPr>
        <sz val="9"/>
        <rFont val="Times New Roman"/>
        <family val="1"/>
      </rPr>
      <t>2</t>
    </r>
  </si>
  <si>
    <r>
      <rPr>
        <sz val="9"/>
        <rFont val="Times New Roman"/>
        <family val="1"/>
      </rPr>
      <t>Приобретение медицинского инструментария (инструментария для образовательного процесса) всего, в том числе:</t>
    </r>
  </si>
  <si>
    <r>
      <rPr>
        <sz val="9"/>
        <rFont val="Times New Roman"/>
        <family val="1"/>
      </rPr>
      <t>3</t>
    </r>
  </si>
  <si>
    <r>
      <rPr>
        <sz val="9"/>
        <rFont val="Times New Roman"/>
        <family val="1"/>
      </rPr>
      <t>Приобретение прочих основных средств всего, в том числе:</t>
    </r>
  </si>
  <si>
    <r>
      <rPr>
        <sz val="9"/>
        <rFont val="Times New Roman"/>
        <family val="1"/>
      </rPr>
      <t>ВСЕГО</t>
    </r>
  </si>
  <si>
    <r>
      <rPr>
        <sz val="11"/>
        <rFont val="Times New Roman"/>
        <family val="1"/>
      </rPr>
      <t>* - Наименование основных средств по пунктам 1,2,3 - в случае, превышающем 10 наименований (строки добавляются самостоятельно),</t>
    </r>
  </si>
  <si>
    <r>
      <rPr>
        <sz val="11"/>
        <rFont val="Times New Roman"/>
        <family val="1"/>
      </rPr>
      <t>формируется приложением к данной таблице - отдельным списком.</t>
    </r>
  </si>
  <si>
    <r>
      <rPr>
        <sz val="11"/>
        <rFont val="Times New Roman"/>
        <family val="1"/>
      </rPr>
      <t>** - Наименование показателей по КВФО 6 формируется отдельным списком - приложением к данной таблице.</t>
    </r>
  </si>
  <si>
    <t>Предпринимательская и иная приносящая доход деятельность, всего:</t>
  </si>
  <si>
    <t>Средняя стоимость, руб.</t>
  </si>
  <si>
    <r>
      <rPr>
        <b/>
        <sz val="9"/>
        <rFont val="Times New Roman"/>
        <family val="1"/>
      </rPr>
      <t>КВФО 5</t>
    </r>
  </si>
  <si>
    <r>
      <rPr>
        <b/>
        <sz val="9"/>
        <rFont val="Times New Roman"/>
        <family val="1"/>
      </rPr>
      <t>Субсидии на иные цели, всего:</t>
    </r>
  </si>
  <si>
    <r>
      <rPr>
        <b/>
        <sz val="9"/>
        <rFont val="Times New Roman"/>
        <family val="1"/>
      </rPr>
      <t>КВФО 6</t>
    </r>
  </si>
  <si>
    <r>
      <rPr>
        <b/>
        <sz val="9"/>
        <rFont val="Times New Roman"/>
        <family val="1"/>
      </rPr>
      <t>Капитальные вложения (инвестиции)**, всего:</t>
    </r>
  </si>
  <si>
    <r>
      <rPr>
        <vertAlign val="superscript"/>
        <sz val="11"/>
        <rFont val="Sylfaen"/>
        <family val="1"/>
      </rPr>
      <t>9</t>
    </r>
    <r>
      <rPr>
        <sz val="11"/>
        <rFont val="Sylfaen"/>
        <family val="1"/>
      </rPr>
      <t xml:space="preserve">    Показатели прочих выплат включают в себя в том числе показатели уменьшения денежных средств за счет возврата средств субсидий,предоставленных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ПФХД (проекта ПФХД)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</si>
  <si>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</si>
  <si>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rPr>
        <vertAlign val="superscript"/>
        <sz val="11"/>
        <rFont val="Sylfaen"/>
        <family val="1"/>
      </rPr>
      <t>7</t>
    </r>
    <r>
      <rPr>
        <sz val="11"/>
        <rFont val="Sylfaen"/>
        <family val="1"/>
      </rPr>
      <t xml:space="preserve">    Показатели выплат по расходам на закупки товаров, работ, услуг, отраженные в строке 2600 Раздела 1 «Поступления и выплаты» ПФХД,подлежат детализации в Разделе 2 «Сведения по выплатам на закупку товаров, работ, услуг» ПФХД.</t>
    </r>
  </si>
  <si>
    <r>
      <rPr>
        <vertAlign val="superscript"/>
        <sz val="11"/>
        <rFont val="Sylfaen"/>
        <family val="1"/>
      </rPr>
      <t>10</t>
    </r>
    <r>
      <rPr>
        <sz val="11"/>
        <rFont val="Sylfaen"/>
        <family val="1"/>
      </rPr>
      <t xml:space="preserve">    В Разделе 2 «Сведения по выплатам на закупку товаров, работ, услуг» ПФХД детализируются показатели выплат по расходам на закупку товаров, работ, услуг, отраженные по соответствующим строкам Раздела 1 «Поступления и выплаты» ПФХД.</t>
    </r>
  </si>
  <si>
    <r>
      <rPr>
        <vertAlign val="superscript"/>
        <sz val="11"/>
        <rFont val="Sylfaen"/>
        <family val="1"/>
      </rPr>
      <t>101</t>
    </r>
    <r>
      <rPr>
        <sz val="11"/>
        <rFont val="Sylfae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</si>
  <si>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rPr>
        <vertAlign val="superscript"/>
        <sz val="11"/>
        <rFont val="Sylfaen"/>
        <family val="1"/>
      </rPr>
      <t>13</t>
    </r>
    <r>
      <rPr>
        <sz val="11"/>
        <rFont val="Sylfae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</si>
  <si>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Sylfaen"/>
        <family val="1"/>
      </rPr>
      <t>11</t>
    </r>
    <r>
      <rPr>
        <sz val="11"/>
        <rFont val="Sylfaen"/>
        <family val="1"/>
      </rPr>
      <t xml:space="preserve">    Плановые показатели выплат на закупку товаров, работ, услуг по строке 26000 Раздела 2 «Сведения по выплатам на закупку товаров,работ, услуг» ПФХД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</si>
  <si>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rPr>
        <vertAlign val="superscript"/>
        <sz val="11"/>
        <rFont val="Sylfaen"/>
        <family val="1"/>
      </rPr>
      <t>12</t>
    </r>
    <r>
      <rPr>
        <sz val="11"/>
        <rFont val="Sylfae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</si>
  <si>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09.01</t>
  </si>
  <si>
    <t>09.09</t>
  </si>
  <si>
    <t>Отопление (ГКал)Горячее водоснабжение (ГВС, ГКал), , всего</t>
  </si>
  <si>
    <t>Водоотведение (м.куб), сброс загряз.веществ</t>
  </si>
  <si>
    <t>Водоотведение (м.куб), норм. потери</t>
  </si>
  <si>
    <t>медицинское оборудование</t>
  </si>
  <si>
    <t>медицинский инструмент</t>
  </si>
  <si>
    <t>ОГАУЗ "Больница скорой медицинской помощи №2"</t>
  </si>
  <si>
    <t>шприцы</t>
  </si>
  <si>
    <t>инвентарь, хозяйственные товары (в том числе: посуда, моющие средства, электротовары и т.д.)</t>
  </si>
  <si>
    <t>Горячее водоснабжение (ГВС, ГКал), Отопление (ГКал) всего</t>
  </si>
  <si>
    <t>Холодное водоснабжение (м.куб), Водоотведение (м.куб), всего</t>
  </si>
  <si>
    <t>КФСР</t>
  </si>
  <si>
    <r>
      <rPr>
        <b/>
        <sz val="10"/>
        <rFont val="Times New Roman"/>
        <family val="1"/>
      </rPr>
      <t>2000</t>
    </r>
  </si>
  <si>
    <r>
      <rPr>
        <b/>
        <sz val="7"/>
        <rFont val="Century Schoolbook"/>
        <family val="1"/>
      </rPr>
      <t>X</t>
    </r>
  </si>
  <si>
    <t>7017003235</t>
  </si>
  <si>
    <t>701701001</t>
  </si>
  <si>
    <t>2023</t>
  </si>
  <si>
    <t>Адрес:                                                                                  634021, г. Томск, ул.Олега Кошевого 72</t>
  </si>
  <si>
    <t>Расчеты (обоснования) расходов на иные закупки товаров, работ и услуг для обеспечения государственных нужд</t>
  </si>
  <si>
    <t>Наименование расходов*</t>
  </si>
  <si>
    <t>2023 год (текущий год)</t>
  </si>
  <si>
    <t>2024 год (1-й год планового периода)</t>
  </si>
  <si>
    <t>2025 год (1-й год планового периода)</t>
  </si>
  <si>
    <t>Количество</t>
  </si>
  <si>
    <t>Сумма, руб.</t>
  </si>
  <si>
    <t>КВФО 4</t>
  </si>
  <si>
    <t>Государственное задание, всего:</t>
  </si>
  <si>
    <t>1 (341)</t>
  </si>
  <si>
    <t>Лекарственные препараты и материалы, применяемые в медицинских целях, в том числе:</t>
  </si>
  <si>
    <t>лекарственные препараты</t>
  </si>
  <si>
    <t>перевязочные средства</t>
  </si>
  <si>
    <t>медицинский инструментарий</t>
  </si>
  <si>
    <t>реактивы, химикаты, стекло, химическая посуда</t>
  </si>
  <si>
    <t>дезинфецирующие средства</t>
  </si>
  <si>
    <t>медицинские перчатки, маски</t>
  </si>
  <si>
    <t>2(342)</t>
  </si>
  <si>
    <t>Продукты питания</t>
  </si>
  <si>
    <t>3(343)</t>
  </si>
  <si>
    <t>ГСМ</t>
  </si>
  <si>
    <r>
      <rPr>
        <b/>
        <sz val="10"/>
        <rFont val="Times New Roman"/>
        <family val="1"/>
      </rPr>
      <t>.</t>
    </r>
  </si>
  <si>
    <t>4(346)</t>
  </si>
  <si>
    <t>Запасные части к транспортным средствам</t>
  </si>
  <si>
    <t>5(344)</t>
  </si>
  <si>
    <t>Строительные материалы</t>
  </si>
  <si>
    <t>6(345)</t>
  </si>
  <si>
    <t>Мягкий инвентарь</t>
  </si>
  <si>
    <t>полотенца</t>
  </si>
  <si>
    <t>комплекты постельного белья</t>
  </si>
  <si>
    <t>7(345)</t>
  </si>
  <si>
    <t>Спец, одежда и обувь</t>
  </si>
  <si>
    <t>Увеличение стоимости прочих материальных запасов в том числе:</t>
  </si>
  <si>
    <t>8(346)</t>
  </si>
  <si>
    <t>запчасти к оборудованию, эвм, орг. техники, средств связи и Т.Д.</t>
  </si>
  <si>
    <t>канцелярские товары, бланки, брошюры, макеты И т.д.</t>
  </si>
  <si>
    <t>9(349)</t>
  </si>
  <si>
    <t>Прочие материальные запасы однократного применения, в том числе:</t>
  </si>
  <si>
    <t>бланки строгой отчетности</t>
  </si>
  <si>
    <t>КВФО 7</t>
  </si>
  <si>
    <t>ОМС, всего:</t>
  </si>
  <si>
    <t>1(341)</t>
  </si>
  <si>
    <t>запчасти к оборудованию, эвм, орг. техники, средств связи и т.д.</t>
  </si>
  <si>
    <t>канцелярские товары, бланки, брошюры, макеты и т.д.</t>
  </si>
  <si>
    <r>
      <rPr>
        <b/>
        <sz val="10"/>
        <rFont val="Times New Roman"/>
        <family val="1"/>
      </rPr>
      <t>...</t>
    </r>
  </si>
  <si>
    <t>КВФО 2</t>
  </si>
  <si>
    <t>•</t>
  </si>
  <si>
    <t>...</t>
  </si>
  <si>
    <t>канцелярские товары, бланки, брошюры, макеты ИТ.Д.</t>
  </si>
  <si>
    <t>ИТОГО</t>
  </si>
  <si>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</si>
  <si>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</si>
  <si>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</si>
  <si>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Приложение № 7</t>
  </si>
  <si>
    <t xml:space="preserve"> </t>
  </si>
  <si>
    <r>
      <rPr>
        <sz val="9"/>
        <rFont val="Times New Roman"/>
        <family val="1"/>
      </rPr>
      <t>КВФО 4</t>
    </r>
  </si>
  <si>
    <r>
      <rPr>
        <sz val="9"/>
        <rFont val="Times New Roman"/>
        <family val="1"/>
      </rPr>
      <t>Государственное задание, всего:</t>
    </r>
  </si>
  <si>
    <t>медицинское оборудование,инструменты</t>
  </si>
  <si>
    <t>косгу 291</t>
  </si>
  <si>
    <t>Здание</t>
  </si>
  <si>
    <t>Земельный участок до 01.01.2023</t>
  </si>
  <si>
    <t>Земельный участок с 01.01.2023</t>
  </si>
  <si>
    <t>Уплата прочих налогов, сборов всего, в том числе:</t>
  </si>
  <si>
    <t>В700ОН70</t>
  </si>
  <si>
    <t>О900КН70</t>
  </si>
  <si>
    <t>Госпошлина</t>
  </si>
  <si>
    <t>косгу 292</t>
  </si>
  <si>
    <t>Пеня, штрафы по налогам</t>
  </si>
  <si>
    <t>косгу 293</t>
  </si>
  <si>
    <t xml:space="preserve">Пеня, штрафы за неисполнение контрактов </t>
  </si>
  <si>
    <t xml:space="preserve">косгу 291   </t>
  </si>
  <si>
    <t xml:space="preserve">косгу 291    </t>
  </si>
  <si>
    <t>Васильева Е.В.</t>
  </si>
  <si>
    <t>(3822)45-61-97</t>
  </si>
  <si>
    <r>
      <rPr>
        <sz val="10"/>
        <rFont val="Times New Roman"/>
        <family val="1"/>
      </rPr>
      <t>8</t>
    </r>
  </si>
  <si>
    <r>
      <rPr>
        <sz val="10"/>
        <rFont val="Times New Roman"/>
        <family val="1"/>
      </rPr>
      <t>•</t>
    </r>
  </si>
  <si>
    <r>
      <rPr>
        <b/>
        <sz val="10"/>
        <rFont val="Times New Roman"/>
        <family val="1"/>
      </rPr>
      <t>2300</t>
    </r>
  </si>
  <si>
    <r>
      <rPr>
        <b/>
        <sz val="10"/>
        <rFont val="Times New Roman"/>
        <family val="1"/>
      </rPr>
      <t>850</t>
    </r>
  </si>
  <si>
    <t>косгу 295</t>
  </si>
  <si>
    <t>стенд для Гои ЧС</t>
  </si>
  <si>
    <t>Спец. Инвентарь Го и ЧС протвогаз, УФМС</t>
  </si>
  <si>
    <t>Уплата налогов, сборов и иных платежей, в том числе:</t>
  </si>
  <si>
    <t>Другие экономические санкции, штрафы от СК по актам МЭК</t>
  </si>
  <si>
    <t>КОСГУ</t>
  </si>
  <si>
    <t>214</t>
  </si>
  <si>
    <t>221</t>
  </si>
  <si>
    <t>222</t>
  </si>
  <si>
    <t>223</t>
  </si>
  <si>
    <t>224</t>
  </si>
  <si>
    <t>225</t>
  </si>
  <si>
    <t>226</t>
  </si>
  <si>
    <t>227</t>
  </si>
  <si>
    <t>228</t>
  </si>
  <si>
    <t>229</t>
  </si>
  <si>
    <t>267</t>
  </si>
  <si>
    <t>310</t>
  </si>
  <si>
    <t>341</t>
  </si>
  <si>
    <t>342</t>
  </si>
  <si>
    <t>343</t>
  </si>
  <si>
    <t>344</t>
  </si>
  <si>
    <t>345</t>
  </si>
  <si>
    <t>346</t>
  </si>
  <si>
    <t>347</t>
  </si>
  <si>
    <t>349</t>
  </si>
  <si>
    <t>Исполнение судебных актов, в том числе:</t>
  </si>
  <si>
    <t>Исполнение судебных актов Российской Федерации и мировых соглашений по возмещению причиненного вреда, в том числе:</t>
  </si>
  <si>
    <t>косгу 297</t>
  </si>
  <si>
    <t xml:space="preserve">Иные выплаты текущего характера организациям </t>
  </si>
  <si>
    <t>Объект налогообложения*</t>
  </si>
  <si>
    <t>Уплата налога на имущество организаций и земельного налога всего, в том числе:</t>
  </si>
  <si>
    <t>Имущество, в том числе:</t>
  </si>
  <si>
    <t>Земля, в том числе:</t>
  </si>
  <si>
    <t>Транспортный налог, в том числе:</t>
  </si>
  <si>
    <t>Уплата иных платежей всего, в том числе:</t>
  </si>
  <si>
    <t>Расчеты (обоснования) расходов на оплату налогов, сборов и иных платежей</t>
  </si>
  <si>
    <t>2025 год (2-й год планового периода)</t>
  </si>
  <si>
    <t>Показатель расчета</t>
  </si>
  <si>
    <t>КВФ0 4</t>
  </si>
  <si>
    <t>налоговая база</t>
  </si>
  <si>
    <t>налоговая ставка/ налоговая льгота</t>
  </si>
  <si>
    <t>кадастровая стоимость</t>
  </si>
  <si>
    <t>налоговая база/ налоговая ставка</t>
  </si>
  <si>
    <t>регистра- ционный знак (номер)</t>
  </si>
  <si>
    <t>КВФ0 7</t>
  </si>
  <si>
    <t>КВФ0 2</t>
  </si>
  <si>
    <t>налоговая ставкд/ налоговая льгота</t>
  </si>
  <si>
    <t>налоговая базц/ налоговая ставка</t>
  </si>
  <si>
    <t>Приложение № 6</t>
  </si>
  <si>
    <t>государственных бюджетных и автономных</t>
  </si>
  <si>
    <t>учреждений, в отношении которых Департамент</t>
  </si>
  <si>
    <t>здравоохранения Томской области осуществляет</t>
  </si>
  <si>
    <t>* - Указывается наименование (вид), адрес, краткая характеристика объекта и прочие идентификационные признаки.</t>
  </si>
  <si>
    <t xml:space="preserve">Исполнение судебных актов Российской Федерации и мировых соглашений по возмещению причиненного вреда, в том числе:       Иные выплаты текущего характера организациям </t>
  </si>
  <si>
    <t xml:space="preserve">        (подпись)                   (фамилия, имя, отчество (при наличии))</t>
  </si>
  <si>
    <t xml:space="preserve">                                    (подпись)                                                      (фамилия, имя, отчество (при наличии))</t>
  </si>
  <si>
    <t xml:space="preserve"> Пособия по социальной помощи, выплачиваемые работодателями, нанимателями бывшим работникам в натуральной форме</t>
  </si>
  <si>
    <t>Социальные пособия и компенсации персоналу в денежной форме</t>
  </si>
  <si>
    <t>О.И.Автайкина</t>
  </si>
  <si>
    <t>121</t>
  </si>
  <si>
    <t>141</t>
  </si>
  <si>
    <t>213</t>
  </si>
  <si>
    <t>291</t>
  </si>
  <si>
    <t>292, 293, 295, 297</t>
  </si>
  <si>
    <t>297</t>
  </si>
  <si>
    <t>189</t>
  </si>
  <si>
    <t>155,165</t>
  </si>
  <si>
    <t>212,226</t>
  </si>
  <si>
    <t>211,266</t>
  </si>
  <si>
    <t>132/134</t>
  </si>
  <si>
    <t>Расчеты (обоснования) расходов фонда оплаты труда (для медицинских учреждений) на 2023год</t>
  </si>
  <si>
    <t>по должностному окладу ( с РК)</t>
  </si>
  <si>
    <t>по выплатам компенсационного характера ( с РК)</t>
  </si>
  <si>
    <t>по выплатам стимулирующего характера ( с РК)</t>
  </si>
  <si>
    <r>
      <t xml:space="preserve">Педагогические работники  </t>
    </r>
    <r>
      <rPr>
        <sz val="9"/>
        <color indexed="10"/>
        <rFont val="Times New Roman"/>
        <family val="1"/>
      </rPr>
      <t>воспитатель</t>
    </r>
  </si>
  <si>
    <r>
      <t xml:space="preserve">Прочий персонал (служащие)  </t>
    </r>
    <r>
      <rPr>
        <sz val="9"/>
        <color indexed="10"/>
        <rFont val="Times New Roman"/>
        <family val="1"/>
      </rPr>
      <t>ГО</t>
    </r>
  </si>
  <si>
    <r>
      <rPr>
        <b/>
        <sz val="9"/>
        <rFont val="Times New Roman"/>
        <family val="1"/>
      </rPr>
      <t>ИТОГО</t>
    </r>
  </si>
  <si>
    <t>Автайкина О.И.</t>
  </si>
  <si>
    <t>8 (3822) 45-33-45</t>
  </si>
  <si>
    <t>8 (3822) 45-61-97</t>
  </si>
  <si>
    <t>Исполнитель                                                                                       экономист</t>
  </si>
  <si>
    <t>В.Н.Казачанская</t>
  </si>
  <si>
    <t>45-37-21</t>
  </si>
  <si>
    <t>Доход от компенсации затрат</t>
  </si>
  <si>
    <t>в том числе: доходы от операции с арендой</t>
  </si>
  <si>
    <t>поступление со счетов</t>
  </si>
  <si>
    <t>Исполнитель                                                                                      экономист</t>
  </si>
  <si>
    <t>189 Иные доходы</t>
  </si>
  <si>
    <t>Иные доходы</t>
  </si>
  <si>
    <r>
      <rPr>
        <sz val="10"/>
        <rFont val="Times New Roman"/>
        <family val="1"/>
      </rPr>
      <t>Всего</t>
    </r>
  </si>
  <si>
    <r>
      <rPr>
        <sz val="10"/>
        <rFont val="Times New Roman"/>
        <family val="1"/>
      </rPr>
      <t>‘ 5</t>
    </r>
  </si>
  <si>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</si>
  <si>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КВФО 5</t>
  </si>
  <si>
    <t>безвозмездные денежные поступления</t>
  </si>
  <si>
    <t>152</t>
  </si>
  <si>
    <t>Субсидии, предусмотренные абзацем вторым пункта 1 статьи 78.1 Бюджетного кодекса Российской Федерации (целевые субсидии), всего</t>
  </si>
  <si>
    <r>
      <rPr>
        <sz val="10"/>
        <color indexed="8"/>
        <rFont val="Times New Roman"/>
        <family val="1"/>
      </rPr>
      <t>Предпринимательская и иная приносящая доход деятельность:</t>
    </r>
  </si>
  <si>
    <r>
      <rPr>
        <sz val="10"/>
        <color indexed="8"/>
        <rFont val="Times New Roman"/>
        <family val="1"/>
      </rPr>
      <t>9</t>
    </r>
  </si>
  <si>
    <t>Увеличение стоимости горюче-смазочных материалов</t>
  </si>
  <si>
    <t>Увеличение стоимости строительных материалов</t>
  </si>
  <si>
    <t>Основание (причина), расшифровка по вносимым изменениям</t>
  </si>
  <si>
    <t>КВФО</t>
  </si>
  <si>
    <t>Прочие работы, услуги</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</si>
  <si>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</si>
  <si>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</si>
  <si>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прочих материальных запасов однократного применения</t>
  </si>
  <si>
    <t>Субсидия на финансовое обеспечение выполнения государственного задания</t>
  </si>
  <si>
    <t>(телефон)</t>
  </si>
  <si>
    <t>Увеличение стоимости основных средств</t>
  </si>
  <si>
    <t>Работы, услуги по содержанию имущества</t>
  </si>
  <si>
    <t>Страхование</t>
  </si>
  <si>
    <t>В случае необходимости внесения дополнительного наименования показателя, дополнительного кода вида расходов, кода классификации сектора</t>
  </si>
  <si>
    <t>государственного управления учреждение самостоятельно добавляет строки.</t>
  </si>
  <si>
    <t>уменьшение стоимости материальных запасов</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</si>
  <si>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</si>
  <si>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Поступления капитального характера от иных резидентов (за исключением сектора государственного управления и организаций государственного сектора)</t>
  </si>
  <si>
    <r>
      <rPr>
        <sz val="9"/>
        <rFont val="Times New Roman"/>
        <family val="1"/>
      </rPr>
      <t>Форма</t>
    </r>
  </si>
  <si>
    <r>
      <rPr>
        <sz val="9"/>
        <rFont val="Times New Roman"/>
        <family val="1"/>
      </rPr>
      <t>Наименование показателя</t>
    </r>
  </si>
  <si>
    <r>
      <rPr>
        <sz val="9"/>
        <rFont val="Times New Roman"/>
        <family val="1"/>
      </rPr>
      <t xml:space="preserve">Остаток средств на начало текущего финансового года </t>
    </r>
    <r>
      <rPr>
        <vertAlign val="superscript"/>
        <sz val="9"/>
        <rFont val="Times New Roman"/>
        <family val="1"/>
      </rPr>
      <t>5</t>
    </r>
  </si>
  <si>
    <r>
      <rPr>
        <sz val="9"/>
        <rFont val="Times New Roman"/>
        <family val="1"/>
      </rPr>
      <t xml:space="preserve">Остаток средств на конец текущего финансового года </t>
    </r>
    <r>
      <rPr>
        <vertAlign val="superscript"/>
        <sz val="9"/>
        <rFont val="Times New Roman"/>
        <family val="1"/>
      </rPr>
      <t>5</t>
    </r>
  </si>
  <si>
    <r>
      <rPr>
        <sz val="9"/>
        <rFont val="Times New Roman"/>
        <family val="1"/>
      </rPr>
      <t>Доходы, всего:</t>
    </r>
  </si>
  <si>
    <r>
      <rPr>
        <sz val="9"/>
        <rFont val="Times New Roman"/>
        <family val="1"/>
      </rPr>
      <t>в том числе: доходы от собственности, всего</t>
    </r>
  </si>
  <si>
    <r>
      <rPr>
        <sz val="9"/>
        <rFont val="Times New Roman"/>
        <family val="1"/>
      </rPr>
      <t>в том числе:</t>
    </r>
  </si>
  <si>
    <r>
      <rPr>
        <sz val="9"/>
        <rFont val="Times New Roman"/>
        <family val="1"/>
      </rPr>
      <t>субсидии на финансовое обеспечение выполнения государственного задания за счет средств Федерального фонда обязательного медицинского страхования</t>
    </r>
  </si>
  <si>
    <r>
      <rPr>
        <sz val="9"/>
        <rFont val="Times New Roman"/>
        <family val="1"/>
      </rPr>
      <t>субсидии на финансовое обеспечение выполнения государственного задания за счет средств Территориального фонда обязательного медицинского страхования</t>
    </r>
  </si>
  <si>
    <r>
      <rPr>
        <sz val="9"/>
        <rFont val="Times New Roman"/>
        <family val="1"/>
      </rPr>
      <t>Доходы от возмещений Фондом социального страхования Российской Федерации расходов</t>
    </r>
  </si>
  <si>
    <r>
      <rPr>
        <sz val="9"/>
        <rFont val="Times New Roman"/>
        <family val="1"/>
      </rPr>
      <t>безвозмездные денежные поступления, всего</t>
    </r>
  </si>
  <si>
    <r>
      <rPr>
        <sz val="9"/>
        <rFont val="Times New Roman"/>
        <family val="1"/>
      </rPr>
      <t>в том числе: целевые субсидии</t>
    </r>
  </si>
  <si>
    <r>
      <rPr>
        <sz val="9"/>
        <rFont val="Times New Roman"/>
        <family val="1"/>
      </rPr>
      <t>субсидии на осуществление капитальных вложений</t>
    </r>
  </si>
  <si>
    <r>
      <rPr>
        <sz val="9"/>
        <rFont val="Times New Roman"/>
        <family val="1"/>
      </rPr>
      <t>прочие доходы, всего</t>
    </r>
  </si>
  <si>
    <r>
      <rPr>
        <sz val="9"/>
        <rFont val="Times New Roman"/>
        <family val="1"/>
      </rPr>
      <t>целевые субсидии</t>
    </r>
  </si>
  <si>
    <r>
      <rPr>
        <b/>
        <sz val="9"/>
        <rFont val="Times New Roman"/>
        <family val="1"/>
      </rPr>
      <t>Расходы, всего</t>
    </r>
  </si>
  <si>
    <r>
      <rPr>
        <sz val="9"/>
        <rFont val="Times New Roman"/>
        <family val="1"/>
      </rPr>
      <t>в том числе: на выплаты персоналу, всего</t>
    </r>
  </si>
  <si>
    <r>
      <rPr>
        <sz val="9"/>
        <rFont val="Times New Roman"/>
        <family val="1"/>
      </rPr>
      <t>в том числе: оплата труда</t>
    </r>
  </si>
  <si>
    <r>
      <rPr>
        <sz val="9"/>
        <rFont val="Times New Roman"/>
        <family val="1"/>
      </rPr>
      <t>иные выплаты, за исключением фонда оплаты труда учреждения, для выполнения отдельных полномочий</t>
    </r>
  </si>
  <si>
    <r>
      <rPr>
        <sz val="9"/>
        <rFont val="Times New Roman"/>
        <family val="1"/>
      </rPr>
      <t>в том числе: на выплаты по оплате труда</t>
    </r>
  </si>
  <si>
    <r>
      <rPr>
        <sz val="9"/>
        <rFont val="Times New Roman"/>
        <family val="1"/>
      </rPr>
      <t>на иные выплаты работникам</t>
    </r>
  </si>
  <si>
    <r>
      <rPr>
        <sz val="9"/>
        <rFont val="Times New Roman"/>
        <family val="1"/>
      </rPr>
      <t>денежное довольствие военнослужащих и сотрудников, имеющих специальные звания</t>
    </r>
  </si>
  <si>
    <r>
      <rPr>
        <sz val="9"/>
        <rFont val="Times New Roman"/>
        <family val="1"/>
      </rPr>
      <t>расходы на выплаты военнослужащим и сотрудникам, имеющим специальные звания, зависящие от размера денежного довольствия</t>
    </r>
  </si>
  <si>
    <r>
      <rPr>
        <sz val="9"/>
        <rFont val="Times New Roman"/>
        <family val="1"/>
      </rPr>
      <t>иные выплаты военнослужащим и сотрудникам, имеющим специальные звания</t>
    </r>
  </si>
  <si>
    <r>
      <rPr>
        <sz val="9"/>
        <rFont val="Times New Roman"/>
        <family val="1"/>
      </rPr>
      <t>страховые взносы на обязательное социальное страхование в части выплат персоналу, подлежащих обложению страховыми взносами</t>
    </r>
  </si>
  <si>
    <r>
      <rPr>
        <sz val="9"/>
        <rFont val="Times New Roman"/>
        <family val="1"/>
      </rPr>
      <t>на иные выплаты гражданским лицам (денежное содержание)</t>
    </r>
  </si>
  <si>
    <r>
      <rPr>
        <sz val="9"/>
        <rFont val="Times New Roman"/>
        <family val="1"/>
      </rPr>
      <t>социальные и иные выплаты населению, всего</t>
    </r>
  </si>
  <si>
    <r>
      <rPr>
        <sz val="9"/>
        <rFont val="Times New Roman"/>
        <family val="1"/>
      </rPr>
      <t>в том числе: социальные выплаты гражданам, кроме публичных нормативных социальных выплат</t>
    </r>
  </si>
  <si>
    <r>
      <rPr>
        <sz val="9"/>
        <rFont val="Times New Roman"/>
        <family val="1"/>
      </rPr>
      <t>из них: пособия, компенсации и иные социальные выплаты гражданам, кроме публичных нормативных обязательств</t>
    </r>
  </si>
  <si>
    <r>
      <rPr>
        <sz val="9"/>
        <rFont val="Times New Roman"/>
        <family val="1"/>
      </rPr>
      <t>выплата стипендий, осуществление иных расходов на социальную поддержку обучающихся за счет средств стипендиального фонда</t>
    </r>
  </si>
  <si>
    <r>
      <rPr>
        <sz val="9"/>
        <rFont val="Times New Roman"/>
        <family val="1"/>
      </rPr>
      <t>иные выплаты населению</t>
    </r>
  </si>
  <si>
    <r>
      <rPr>
        <b/>
        <sz val="9"/>
        <rFont val="Times New Roman"/>
        <family val="1"/>
      </rPr>
      <t>уплата налогов, сборов и иных платежей, всего</t>
    </r>
  </si>
  <si>
    <r>
      <rPr>
        <sz val="9"/>
        <rFont val="Times New Roman"/>
        <family val="1"/>
      </rPr>
      <t>из них: налог на имущество организаций и земельный налог</t>
    </r>
  </si>
  <si>
    <r>
      <rPr>
        <sz val="9"/>
        <rFont val="Times New Roman"/>
        <family val="1"/>
      </rPr>
      <t>иные налоги (включаемые в состав расходов) в бюджеты бюджетной системы Российской Федерации, а также государственная пошлина</t>
    </r>
  </si>
  <si>
    <r>
      <rPr>
        <sz val="9"/>
        <rFont val="Times New Roman"/>
        <family val="1"/>
      </rPr>
      <t>безвозмездные перечисления организациям и физическим лицам, всего</t>
    </r>
  </si>
  <si>
    <r>
      <rPr>
        <sz val="9"/>
        <rFont val="Times New Roman"/>
        <family val="1"/>
      </rPr>
      <t>из них: гранты, предоставляемые бюджетным учреждениям</t>
    </r>
  </si>
  <si>
    <r>
      <rPr>
        <sz val="9"/>
        <rFont val="Times New Roman"/>
        <family val="1"/>
      </rPr>
      <t>гранты, предоставляемые иным некоммерческим организациям (за исключением бюджетных и автономных учреждений)</t>
    </r>
  </si>
  <si>
    <r>
      <rPr>
        <sz val="9"/>
        <rFont val="Times New Roman"/>
        <family val="1"/>
      </rPr>
      <t>гранты, предоставляемые другим организациям и физическим лицам</t>
    </r>
  </si>
  <si>
    <r>
      <rPr>
        <sz val="9"/>
        <rFont val="Times New Roman"/>
        <family val="1"/>
      </rPr>
      <t>взносы в международные организации</t>
    </r>
  </si>
  <si>
    <r>
      <rPr>
        <sz val="9"/>
        <rFont val="Times New Roman"/>
        <family val="1"/>
      </rPr>
      <t>платежи в целях обеспечения реализации соглашений с правительствами иностранных государств и международными организациями</t>
    </r>
  </si>
  <si>
    <r>
      <rPr>
        <sz val="9"/>
        <rFont val="Times New Roman"/>
        <family val="1"/>
      </rPr>
      <t>прочие выплаты (кроме выплат на закупку товаров, работ, услуг)</t>
    </r>
  </si>
  <si>
    <r>
      <rPr>
        <sz val="9"/>
        <rFont val="Times New Roman"/>
        <family val="1"/>
      </rPr>
      <t>расходы на закупку товаров, работ, услуг, всего</t>
    </r>
    <r>
      <rPr>
        <vertAlign val="superscript"/>
        <sz val="9"/>
        <rFont val="Times New Roman"/>
        <family val="1"/>
      </rPr>
      <t>7</t>
    </r>
  </si>
  <si>
    <r>
      <rPr>
        <sz val="9"/>
        <rFont val="Times New Roman"/>
        <family val="1"/>
      </rPr>
      <t>в том числе: закупку научно- исследовательских и опытноконструкторских и технологических работ</t>
    </r>
  </si>
  <si>
    <r>
      <rPr>
        <sz val="9"/>
        <rFont val="Times New Roman"/>
        <family val="1"/>
      </rPr>
      <t>закупку товаров, работ, услуг в целях капитального ремонта государственного имущества</t>
    </r>
  </si>
  <si>
    <r>
      <rPr>
        <sz val="9"/>
        <rFont val="Times New Roman"/>
        <family val="1"/>
      </rPr>
      <t>прочую закупку товаров, работ и услуг, всего</t>
    </r>
  </si>
  <si>
    <r>
      <rPr>
        <sz val="9"/>
        <rFont val="Times New Roman"/>
        <family val="1"/>
      </rPr>
      <t>из них по статьям КОСГУ*:</t>
    </r>
  </si>
  <si>
    <r>
      <rPr>
        <sz val="9"/>
        <rFont val="Times New Roman"/>
        <family val="1"/>
      </rPr>
      <t>Прочие несоциальные выплаты персоналу в натуральной форме</t>
    </r>
  </si>
  <si>
    <r>
      <rPr>
        <sz val="9"/>
        <rFont val="Times New Roman"/>
        <family val="1"/>
      </rPr>
      <t>Услуги связи</t>
    </r>
  </si>
  <si>
    <r>
      <rPr>
        <sz val="9"/>
        <rFont val="Times New Roman"/>
        <family val="1"/>
      </rPr>
      <t>Транспортные услуги</t>
    </r>
  </si>
  <si>
    <r>
      <rPr>
        <sz val="9"/>
        <rFont val="Times New Roman"/>
        <family val="1"/>
      </rPr>
      <t>Коммунальные услуги</t>
    </r>
  </si>
  <si>
    <r>
      <rPr>
        <sz val="9"/>
        <rFont val="Times New Roman"/>
        <family val="1"/>
      </rPr>
      <t>Прочие работы, услуги</t>
    </r>
  </si>
  <si>
    <r>
      <rPr>
        <sz val="9"/>
        <rFont val="Times New Roman"/>
        <family val="1"/>
      </rPr>
      <t>Услуги, работы для целей капитальных вложений</t>
    </r>
  </si>
  <si>
    <r>
      <rPr>
        <sz val="9"/>
        <rFont val="Times New Roman"/>
        <family val="1"/>
      </rPr>
      <t>Арендная плата за пользование земельными участками и другими обособленными природными объектами</t>
    </r>
  </si>
  <si>
    <r>
      <rPr>
        <sz val="9"/>
        <rFont val="Times New Roman"/>
        <family val="1"/>
      </rPr>
      <t>Социальные компенсации персоналу в натуральной форме</t>
    </r>
  </si>
  <si>
    <r>
      <rPr>
        <sz val="9"/>
        <rFont val="Times New Roman"/>
        <family val="1"/>
      </rPr>
      <t>Увеличение стоимости нематериальных активов</t>
    </r>
  </si>
  <si>
    <r>
      <rPr>
        <sz val="9"/>
        <rFont val="Times New Roman"/>
        <family val="1"/>
      </rPr>
      <t>Увеличение стоимости мягкого инвентаря</t>
    </r>
  </si>
  <si>
    <r>
      <rPr>
        <sz val="9"/>
        <rFont val="Times New Roman"/>
        <family val="1"/>
      </rPr>
      <t>Увеличение стоимости прочих оборотных запасов (материалов)</t>
    </r>
  </si>
  <si>
    <r>
      <rPr>
        <sz val="9"/>
        <rFont val="Times New Roman"/>
        <family val="1"/>
      </rPr>
      <t>Увеличение стоимости материальных запасов для целей капитальных вложений</t>
    </r>
  </si>
  <si>
    <r>
      <rPr>
        <sz val="9"/>
        <rFont val="Times New Roman"/>
        <family val="1"/>
      </rPr>
      <t>закупку энергетических ресурсов,всего</t>
    </r>
  </si>
  <si>
    <r>
      <rPr>
        <sz val="9"/>
        <rFont val="Times New Roman"/>
        <family val="1"/>
      </rPr>
      <t>капитальные вложения в объекты государственной собственности, всего</t>
    </r>
  </si>
  <si>
    <r>
      <rPr>
        <sz val="9"/>
        <rFont val="Times New Roman"/>
        <family val="1"/>
      </rPr>
      <t>Выплаты, уменьшающие доход,</t>
    </r>
  </si>
  <si>
    <r>
      <rPr>
        <sz val="9"/>
        <rFont val="Times New Roman"/>
        <family val="1"/>
      </rPr>
      <t>всего</t>
    </r>
    <r>
      <rPr>
        <vertAlign val="superscript"/>
        <sz val="9"/>
        <rFont val="Times New Roman"/>
        <family val="1"/>
      </rPr>
      <t>8</t>
    </r>
  </si>
  <si>
    <r>
      <rPr>
        <sz val="9"/>
        <rFont val="Times New Roman"/>
        <family val="1"/>
      </rPr>
      <t>налог на прибыль</t>
    </r>
    <r>
      <rPr>
        <vertAlign val="superscript"/>
        <sz val="9"/>
        <rFont val="Times New Roman"/>
        <family val="1"/>
      </rPr>
      <t>8</t>
    </r>
  </si>
  <si>
    <r>
      <rPr>
        <sz val="9"/>
        <rFont val="Times New Roman"/>
        <family val="1"/>
      </rPr>
      <t>налог на добавленную стоимость</t>
    </r>
    <r>
      <rPr>
        <vertAlign val="superscript"/>
        <sz val="9"/>
        <rFont val="Times New Roman"/>
        <family val="1"/>
      </rPr>
      <t>8</t>
    </r>
  </si>
  <si>
    <r>
      <rPr>
        <sz val="9"/>
        <rFont val="Times New Roman"/>
        <family val="1"/>
      </rPr>
      <t>Прочие выплаты, всего</t>
    </r>
    <r>
      <rPr>
        <vertAlign val="superscript"/>
        <sz val="9"/>
        <rFont val="Times New Roman"/>
        <family val="1"/>
      </rPr>
      <t>9</t>
    </r>
  </si>
  <si>
    <r>
      <rPr>
        <sz val="9"/>
        <rFont val="Times New Roman"/>
        <family val="1"/>
      </rPr>
      <t>возврат в бюджет средств субсидии</t>
    </r>
  </si>
  <si>
    <r>
      <rPr>
        <sz val="9"/>
        <rFont val="Times New Roman"/>
        <family val="1"/>
      </rPr>
      <t>Приложение заполняется на текущий финансовый год и каждый год планового периода.</t>
    </r>
  </si>
  <si>
    <r>
      <rPr>
        <sz val="9"/>
        <rFont val="Times New Roman"/>
        <family val="1"/>
      </rPr>
      <t>В случае необходимости внесения дополнительного кода вида расходов, кода классификации сектора государственного управления учреждение</t>
    </r>
  </si>
  <si>
    <r>
      <rPr>
        <sz val="9"/>
        <rFont val="Times New Roman"/>
        <family val="1"/>
      </rPr>
      <t>самостоятельно добавляет строки.</t>
    </r>
  </si>
  <si>
    <r>
      <rPr>
        <sz val="9"/>
        <rFont val="Times New Roman"/>
        <family val="1"/>
      </rPr>
      <t>Руководитель финансово-экономической службы</t>
    </r>
  </si>
  <si>
    <r>
      <rPr>
        <sz val="9"/>
        <rFont val="Times New Roman"/>
        <family val="1"/>
      </rPr>
      <t>(телефон)</t>
    </r>
  </si>
  <si>
    <t>доходы от оказания платных услуг (работ)</t>
  </si>
  <si>
    <t>доходы от оказания платных услуг (работ), компенсаций затрат в том числе:</t>
  </si>
  <si>
    <t>доходы от компенсации затрат</t>
  </si>
  <si>
    <t>доходы от штрафных санкций за нарушение законодательства о закупках и нарушение условий контрактов (договоров)</t>
  </si>
  <si>
    <t>Код по бюджетной классификации РФ/(КОСГУ)</t>
  </si>
  <si>
    <t>матрасы</t>
  </si>
  <si>
    <t>440</t>
  </si>
  <si>
    <t>Показатели по доходам и расходам по состоянию на «08»  августа 2023год</t>
  </si>
  <si>
    <t>226,265,266</t>
  </si>
  <si>
    <t>"08" августа 2023 г.</t>
  </si>
  <si>
    <t xml:space="preserve">                      ОГАУЗ "Больница скорой медицинской помощи №2"</t>
  </si>
  <si>
    <t>Главный врач</t>
  </si>
  <si>
    <t>А.В.Караваев</t>
  </si>
  <si>
    <t>Поступления: всего</t>
  </si>
  <si>
    <t>150/152</t>
  </si>
  <si>
    <t>Сумма изменений      (+/-), (руб.)</t>
  </si>
  <si>
    <t>Руководитель учреждения                                                               Главный врач</t>
  </si>
  <si>
    <t>Субсидии, предусмотренные абзацем вторым пункта 1 статьи 78.1 Бюджетного кодекса Российской Федерации (целевые субсидии)</t>
  </si>
  <si>
    <t>сентября</t>
  </si>
  <si>
    <t>Руководитель учреждения                                                          Главный врач</t>
  </si>
  <si>
    <t>Увеличение стоимости прочих оборотных запасов (материалов)</t>
  </si>
  <si>
    <t xml:space="preserve">Соглашение    от  "01" сентября 2023 № 134ц о предоставлении из областного бюджета ОГАУЗ "БСМП№2"субсидии на финансовое обеспечение осуществления медицинской деятельности на территориях Донецкой Народной Республики и Луганской Народной Республики, Запорожской области 
и Херсонской области
</t>
  </si>
  <si>
    <t>взносы по обязательному социальному страхованию на выплаты по оплате труда работников и иные выплаты работникам учреждений</t>
  </si>
  <si>
    <r>
      <rPr>
        <b/>
        <sz val="10"/>
        <color indexed="8"/>
        <rFont val="Times New Roman"/>
        <family val="1"/>
      </rPr>
      <t>Выплаты всего:</t>
    </r>
  </si>
  <si>
    <r>
      <rPr>
        <sz val="10"/>
        <rFont val="Times New Roman"/>
        <family val="1"/>
      </rPr>
      <t>в том числе: на выплаты персоналу, всего</t>
    </r>
  </si>
  <si>
    <t xml:space="preserve">            «11 » сентября 2023 г.</t>
  </si>
  <si>
    <t>Сведения о вносимых изменениях на 2023 год по состоянию на « 11» сентября2023год</t>
  </si>
  <si>
    <t>119/213</t>
  </si>
  <si>
    <t>111/211</t>
  </si>
  <si>
    <t>112/226</t>
  </si>
  <si>
    <t>112/212</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</si>
</sst>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
    <numFmt numFmtId="186" formatCode="d/m;@"/>
    <numFmt numFmtId="187" formatCode="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_ ;\-#,##0\ "/>
    <numFmt numFmtId="196" formatCode="0_ ;\-0\ "/>
    <numFmt numFmtId="197" formatCode="#,##0.00\ &quot;₽&quot;"/>
    <numFmt numFmtId="198" formatCode="#,##0\ &quot;₽&quot;"/>
    <numFmt numFmtId="199" formatCode="#,##0.000"/>
    <numFmt numFmtId="200" formatCode="#,##0.0000"/>
    <numFmt numFmtId="201" formatCode="#,##0.00\ _₽"/>
  </numFmts>
  <fonts count="10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sz val="12"/>
      <name val="Times New Roman"/>
      <family val="1"/>
    </font>
    <font>
      <b/>
      <sz val="10"/>
      <name val="Arial Cyr"/>
      <family val="0"/>
    </font>
    <font>
      <b/>
      <sz val="14"/>
      <name val="Times New Roman"/>
      <family val="1"/>
    </font>
    <font>
      <b/>
      <sz val="9"/>
      <name val="Times New Roman"/>
      <family val="1"/>
    </font>
    <font>
      <b/>
      <sz val="7"/>
      <name val="Times New Roman"/>
      <family val="1"/>
    </font>
    <font>
      <sz val="9"/>
      <name val="Tahoma"/>
      <family val="2"/>
    </font>
    <font>
      <b/>
      <sz val="9"/>
      <name val="Tahoma"/>
      <family val="2"/>
    </font>
    <font>
      <sz val="14"/>
      <name val="Times New Roman"/>
      <family val="1"/>
    </font>
    <font>
      <b/>
      <sz val="12"/>
      <name val="Arial Cyr"/>
      <family val="0"/>
    </font>
    <font>
      <b/>
      <sz val="14"/>
      <color indexed="8"/>
      <name val="Times New Roman"/>
      <family val="1"/>
    </font>
    <font>
      <sz val="14"/>
      <color indexed="8"/>
      <name val="Times New Roman"/>
      <family val="1"/>
    </font>
    <font>
      <b/>
      <sz val="12"/>
      <color indexed="8"/>
      <name val="Times New Roman"/>
      <family val="1"/>
    </font>
    <font>
      <sz val="10"/>
      <name val="Arial"/>
      <family val="2"/>
    </font>
    <font>
      <sz val="14"/>
      <name val="Arial Cyr"/>
      <family val="0"/>
    </font>
    <font>
      <b/>
      <sz val="14"/>
      <name val="Arial Cyr"/>
      <family val="0"/>
    </font>
    <font>
      <b/>
      <u val="single"/>
      <sz val="9"/>
      <name val="Tahoma"/>
      <family val="2"/>
    </font>
    <font>
      <vertAlign val="superscript"/>
      <sz val="9"/>
      <name val="Times New Roman"/>
      <family val="1"/>
    </font>
    <font>
      <b/>
      <sz val="11"/>
      <name val="Times New Roman"/>
      <family val="1"/>
    </font>
    <font>
      <sz val="12"/>
      <color indexed="8"/>
      <name val="Times New Roman"/>
      <family val="1"/>
    </font>
    <font>
      <sz val="22"/>
      <color indexed="8"/>
      <name val="Times New Roman"/>
      <family val="1"/>
    </font>
    <font>
      <b/>
      <sz val="10"/>
      <color indexed="8"/>
      <name val="Times New Roman"/>
      <family val="1"/>
    </font>
    <font>
      <b/>
      <sz val="8"/>
      <name val="Times New Roman"/>
      <family val="1"/>
    </font>
    <font>
      <b/>
      <vertAlign val="superscript"/>
      <sz val="9"/>
      <name val="Times New Roman"/>
      <family val="1"/>
    </font>
    <font>
      <sz val="9"/>
      <name val="Arial Cyr"/>
      <family val="0"/>
    </font>
    <font>
      <b/>
      <vertAlign val="superscript"/>
      <sz val="12"/>
      <name val="Times New Roman"/>
      <family val="1"/>
    </font>
    <font>
      <vertAlign val="superscript"/>
      <sz val="10"/>
      <name val="Times New Roman"/>
      <family val="1"/>
    </font>
    <font>
      <sz val="11"/>
      <name val="Times New Roman"/>
      <family val="1"/>
    </font>
    <font>
      <vertAlign val="superscript"/>
      <sz val="11"/>
      <name val="Times New Roman"/>
      <family val="1"/>
    </font>
    <font>
      <vertAlign val="superscript"/>
      <sz val="11"/>
      <name val="Sylfaen"/>
      <family val="1"/>
    </font>
    <font>
      <sz val="11"/>
      <name val="Sylfaen"/>
      <family val="1"/>
    </font>
    <font>
      <sz val="7"/>
      <name val="Century Schoolbook"/>
      <family val="1"/>
    </font>
    <font>
      <b/>
      <i/>
      <sz val="10"/>
      <name val="Times New Roman"/>
      <family val="1"/>
    </font>
    <font>
      <b/>
      <i/>
      <sz val="9"/>
      <name val="Times New Roman"/>
      <family val="1"/>
    </font>
    <font>
      <b/>
      <sz val="10"/>
      <name val="Cambria"/>
      <family val="1"/>
    </font>
    <font>
      <sz val="10"/>
      <name val="Cambria"/>
      <family val="1"/>
    </font>
    <font>
      <sz val="10"/>
      <name val="David"/>
      <family val="2"/>
    </font>
    <font>
      <b/>
      <sz val="12"/>
      <name val="Cambria"/>
      <family val="1"/>
    </font>
    <font>
      <sz val="10"/>
      <name val="Georgia"/>
      <family val="1"/>
    </font>
    <font>
      <b/>
      <sz val="7"/>
      <name val="Century Schoolbook"/>
      <family val="1"/>
    </font>
    <font>
      <sz val="9"/>
      <color indexed="10"/>
      <name val="Times New Roman"/>
      <family val="1"/>
    </font>
    <font>
      <sz val="10"/>
      <color indexed="8"/>
      <name val="Times New Roman"/>
      <family val="1"/>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b/>
      <sz val="10"/>
      <color indexed="10"/>
      <name val="Times New Roman"/>
      <family val="1"/>
    </font>
    <font>
      <b/>
      <sz val="10"/>
      <color indexed="10"/>
      <name val="Arial Cyr"/>
      <family val="0"/>
    </font>
    <font>
      <sz val="10"/>
      <color indexed="10"/>
      <name val="Arial Cyr"/>
      <family val="0"/>
    </font>
    <font>
      <b/>
      <sz val="10"/>
      <color indexed="8"/>
      <name val="Arial Cyr"/>
      <family val="0"/>
    </font>
    <font>
      <b/>
      <sz val="11"/>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rgb="FFFF0000"/>
      <name val="Times New Roman"/>
      <family val="1"/>
    </font>
    <font>
      <b/>
      <sz val="10"/>
      <color theme="1"/>
      <name val="Times New Roman"/>
      <family val="1"/>
    </font>
    <font>
      <b/>
      <sz val="10"/>
      <color rgb="FFFF0000"/>
      <name val="Arial Cyr"/>
      <family val="0"/>
    </font>
    <font>
      <sz val="10"/>
      <color theme="1"/>
      <name val="Times New Roman"/>
      <family val="1"/>
    </font>
    <font>
      <sz val="10"/>
      <color rgb="FFFF0000"/>
      <name val="Arial Cyr"/>
      <family val="0"/>
    </font>
    <font>
      <b/>
      <sz val="10"/>
      <color theme="1"/>
      <name val="Arial Cyr"/>
      <family val="0"/>
    </font>
    <font>
      <b/>
      <sz val="11"/>
      <color theme="1"/>
      <name val="Times New Roman"/>
      <family val="1"/>
    </font>
    <font>
      <sz val="11"/>
      <color theme="1"/>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color indexed="8"/>
      </top>
      <bottom/>
    </border>
    <border>
      <left style="medium"/>
      <right style="medium"/>
      <top>
        <color indexed="63"/>
      </top>
      <bottom style="thin">
        <color indexed="8"/>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thin">
        <color indexed="8"/>
      </top>
      <bottom/>
    </border>
    <border>
      <left style="medium"/>
      <right style="medium"/>
      <top>
        <color indexed="63"/>
      </top>
      <bottom style="thin"/>
    </border>
    <border>
      <left style="medium"/>
      <right style="medium"/>
      <top style="thin"/>
      <bottom>
        <color indexed="63"/>
      </bottom>
    </border>
    <border>
      <left style="medium"/>
      <right style="medium"/>
      <top style="thin">
        <color indexed="8"/>
      </top>
      <bottom style="thin">
        <color indexed="8"/>
      </bottom>
    </border>
    <border>
      <left style="medium"/>
      <right style="medium"/>
      <top style="thin"/>
      <bottom style="thin"/>
    </border>
    <border>
      <left>
        <color indexed="63"/>
      </left>
      <right style="medium"/>
      <top style="medium"/>
      <bottom style="medium"/>
    </border>
    <border>
      <left style="medium"/>
      <right>
        <color indexed="63"/>
      </right>
      <top>
        <color indexed="63"/>
      </top>
      <bottom style="thin">
        <color indexed="8"/>
      </bottom>
    </border>
    <border>
      <left>
        <color indexed="63"/>
      </left>
      <right>
        <color indexed="63"/>
      </right>
      <top style="thin"/>
      <bottom>
        <color indexed="63"/>
      </bottom>
    </border>
    <border>
      <left>
        <color indexed="63"/>
      </left>
      <right style="medium"/>
      <top>
        <color indexed="63"/>
      </top>
      <bottom style="thin">
        <color indexed="8"/>
      </bottom>
    </border>
    <border>
      <left/>
      <right style="medium"/>
      <top style="thin">
        <color indexed="8"/>
      </top>
      <bottom style="thin">
        <color indexed="8"/>
      </bottom>
    </border>
    <border>
      <left>
        <color indexed="63"/>
      </left>
      <right style="medium"/>
      <top style="thin">
        <color indexed="8"/>
      </top>
      <bottom>
        <color indexed="63"/>
      </bottom>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medium"/>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right style="thin"/>
      <top style="medium"/>
      <bottom style="medium"/>
    </border>
    <border>
      <left/>
      <right style="thin"/>
      <top/>
      <bottom style="thin"/>
    </border>
    <border>
      <left style="thin"/>
      <right style="medium"/>
      <top style="thin"/>
      <bottom style="thin"/>
    </border>
    <border>
      <left/>
      <right style="thin"/>
      <top style="thin"/>
      <bottom style="medium"/>
    </border>
    <border>
      <left style="thin"/>
      <right style="thin"/>
      <top style="thin"/>
      <bottom style="medium"/>
    </border>
    <border>
      <left>
        <color indexed="63"/>
      </left>
      <right style="medium"/>
      <top>
        <color indexed="63"/>
      </top>
      <bottom style="medium"/>
    </border>
    <border>
      <left>
        <color indexed="63"/>
      </left>
      <right style="medium"/>
      <top style="medium"/>
      <bottom>
        <color indexed="63"/>
      </bottom>
    </border>
    <border>
      <left style="thin"/>
      <right style="medium"/>
      <top/>
      <bottom style="thin"/>
    </border>
    <border>
      <left>
        <color indexed="63"/>
      </left>
      <right style="thin"/>
      <top style="thin"/>
      <bottom>
        <color indexed="63"/>
      </bottom>
    </border>
    <border>
      <left style="thin"/>
      <right style="thin"/>
      <top style="medium"/>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color indexed="63"/>
      </left>
      <right>
        <color indexed="63"/>
      </right>
      <top style="thin"/>
      <bottom style="medium"/>
    </border>
    <border>
      <left style="medium"/>
      <right style="thin"/>
      <top>
        <color indexed="63"/>
      </top>
      <bottom style="medium"/>
    </border>
    <border>
      <left>
        <color indexed="63"/>
      </left>
      <right>
        <color indexed="63"/>
      </right>
      <top style="medium"/>
      <bottom>
        <color indexed="63"/>
      </bottom>
    </border>
    <border>
      <left style="medium"/>
      <right style="thin"/>
      <top style="medium"/>
      <bottom style="medium"/>
    </border>
    <border>
      <left style="thin"/>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28" borderId="7"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75" fillId="0" borderId="0">
      <alignment/>
      <protection/>
    </xf>
    <xf numFmtId="0" fontId="0" fillId="0" borderId="0">
      <alignment/>
      <protection/>
    </xf>
    <xf numFmtId="0" fontId="75" fillId="0" borderId="0">
      <alignment/>
      <protection/>
    </xf>
    <xf numFmtId="0" fontId="21" fillId="0" borderId="0">
      <alignment/>
      <protection/>
    </xf>
    <xf numFmtId="0" fontId="2" fillId="0" borderId="0" applyNumberFormat="0" applyFill="0" applyBorder="0" applyAlignment="0" applyProtection="0"/>
    <xf numFmtId="0" fontId="87" fillId="30" borderId="0" applyNumberFormat="0" applyBorder="0" applyAlignment="0" applyProtection="0"/>
    <xf numFmtId="0" fontId="8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91" fillId="32" borderId="0" applyNumberFormat="0" applyBorder="0" applyAlignment="0" applyProtection="0"/>
  </cellStyleXfs>
  <cellXfs count="807">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8" fillId="0" borderId="0" xfId="0" applyFont="1" applyAlignment="1">
      <alignment horizontal="left"/>
    </xf>
    <xf numFmtId="0" fontId="3" fillId="0" borderId="0" xfId="0" applyFont="1" applyAlignment="1">
      <alignment horizontal="left" vertical="center"/>
    </xf>
    <xf numFmtId="0" fontId="7" fillId="0" borderId="0" xfId="0" applyFont="1" applyAlignment="1">
      <alignment horizontal="left"/>
    </xf>
    <xf numFmtId="0" fontId="0" fillId="0" borderId="0" xfId="0" applyAlignment="1">
      <alignment wrapText="1"/>
    </xf>
    <xf numFmtId="0" fontId="19" fillId="0" borderId="0" xfId="54" applyFont="1" applyAlignment="1">
      <alignment horizontal="left"/>
      <protection/>
    </xf>
    <xf numFmtId="0" fontId="19" fillId="0" borderId="0" xfId="54" applyFont="1" applyAlignment="1">
      <alignment horizontal="center"/>
      <protection/>
    </xf>
    <xf numFmtId="0" fontId="28" fillId="0" borderId="0" xfId="54" applyFont="1">
      <alignment/>
      <protection/>
    </xf>
    <xf numFmtId="0" fontId="16" fillId="0" borderId="0" xfId="55" applyFont="1">
      <alignment/>
      <protection/>
    </xf>
    <xf numFmtId="0" fontId="22" fillId="0" borderId="0" xfId="55" applyFont="1">
      <alignment/>
      <protection/>
    </xf>
    <xf numFmtId="0" fontId="0" fillId="0" borderId="0" xfId="55">
      <alignment/>
      <protection/>
    </xf>
    <xf numFmtId="0" fontId="18" fillId="0" borderId="0" xfId="55" applyFont="1" applyAlignment="1">
      <alignment horizontal="center" wrapText="1"/>
      <protection/>
    </xf>
    <xf numFmtId="0" fontId="11" fillId="0" borderId="0" xfId="55" applyFont="1" applyAlignment="1">
      <alignment horizontal="center" wrapText="1"/>
      <protection/>
    </xf>
    <xf numFmtId="0" fontId="19" fillId="0" borderId="0" xfId="55" applyFont="1" applyAlignment="1">
      <alignment horizontal="justify"/>
      <protection/>
    </xf>
    <xf numFmtId="0" fontId="23" fillId="0" borderId="0" xfId="55" applyFont="1">
      <alignment/>
      <protection/>
    </xf>
    <xf numFmtId="0" fontId="10" fillId="0" borderId="0" xfId="55" applyFont="1">
      <alignment/>
      <protection/>
    </xf>
    <xf numFmtId="0" fontId="9" fillId="0" borderId="0" xfId="55" applyFont="1">
      <alignment/>
      <protection/>
    </xf>
    <xf numFmtId="0" fontId="27" fillId="0" borderId="0" xfId="54" applyFont="1">
      <alignment/>
      <protection/>
    </xf>
    <xf numFmtId="0" fontId="9" fillId="0" borderId="0" xfId="55" applyFont="1" applyAlignment="1">
      <alignment vertical="center"/>
      <protection/>
    </xf>
    <xf numFmtId="0" fontId="8" fillId="0" borderId="0" xfId="55" applyFont="1">
      <alignment/>
      <protection/>
    </xf>
    <xf numFmtId="0" fontId="5" fillId="0" borderId="0" xfId="55" applyFont="1">
      <alignment/>
      <protection/>
    </xf>
    <xf numFmtId="0" fontId="11" fillId="0" borderId="0" xfId="55" applyFont="1">
      <alignment/>
      <protection/>
    </xf>
    <xf numFmtId="0" fontId="18" fillId="0" borderId="0" xfId="55" applyFont="1" applyAlignment="1">
      <alignment horizontal="center" vertical="center" wrapText="1"/>
      <protection/>
    </xf>
    <xf numFmtId="0" fontId="18" fillId="0" borderId="0" xfId="54" applyFont="1" applyAlignment="1">
      <alignment horizontal="center" vertical="center"/>
      <protection/>
    </xf>
    <xf numFmtId="0" fontId="11" fillId="0" borderId="0" xfId="55" applyFont="1" applyAlignment="1">
      <alignment horizontal="center" vertical="center"/>
      <protection/>
    </xf>
    <xf numFmtId="0" fontId="20" fillId="0" borderId="0" xfId="54" applyFont="1" applyAlignment="1">
      <alignment horizontal="center" vertical="center"/>
      <protection/>
    </xf>
    <xf numFmtId="0" fontId="20" fillId="0" borderId="0" xfId="55" applyFont="1" applyAlignment="1">
      <alignment horizontal="center" vertical="center"/>
      <protection/>
    </xf>
    <xf numFmtId="0" fontId="8" fillId="0" borderId="0" xfId="55" applyFont="1" applyAlignment="1">
      <alignment horizontal="center" vertical="center"/>
      <protection/>
    </xf>
    <xf numFmtId="0" fontId="12" fillId="0" borderId="0" xfId="55" applyFont="1" applyAlignment="1">
      <alignment horizontal="center" vertical="center"/>
      <protection/>
    </xf>
    <xf numFmtId="0" fontId="10" fillId="0" borderId="0" xfId="55" applyFont="1" applyAlignment="1">
      <alignment horizontal="center" vertical="center"/>
      <protection/>
    </xf>
    <xf numFmtId="0" fontId="8" fillId="0" borderId="10" xfId="55" applyFont="1" applyBorder="1" applyAlignment="1">
      <alignment horizontal="center" wrapText="1"/>
      <protection/>
    </xf>
    <xf numFmtId="0" fontId="8" fillId="0" borderId="11" xfId="55" applyFont="1" applyBorder="1" applyAlignment="1">
      <alignment horizontal="center" wrapText="1"/>
      <protection/>
    </xf>
    <xf numFmtId="0" fontId="8" fillId="0" borderId="12" xfId="55" applyFont="1" applyBorder="1" applyAlignment="1">
      <alignment horizontal="center" vertical="center" wrapText="1"/>
      <protection/>
    </xf>
    <xf numFmtId="0" fontId="17" fillId="0" borderId="0" xfId="55" applyFont="1" applyAlignment="1">
      <alignment vertical="center"/>
      <protection/>
    </xf>
    <xf numFmtId="0" fontId="8" fillId="0" borderId="13" xfId="55" applyFont="1" applyBorder="1" applyAlignment="1">
      <alignment horizontal="center" vertical="center" wrapText="1"/>
      <protection/>
    </xf>
    <xf numFmtId="0" fontId="8" fillId="0" borderId="14" xfId="55" applyFont="1" applyBorder="1" applyAlignment="1">
      <alignment horizontal="center" wrapText="1"/>
      <protection/>
    </xf>
    <xf numFmtId="0" fontId="8" fillId="0" borderId="11" xfId="55" applyFont="1" applyBorder="1" applyAlignment="1">
      <alignment horizontal="left" wrapText="1"/>
      <protection/>
    </xf>
    <xf numFmtId="0" fontId="8" fillId="0" borderId="10" xfId="55" applyFont="1" applyBorder="1" applyAlignment="1">
      <alignment horizontal="left" wrapText="1"/>
      <protection/>
    </xf>
    <xf numFmtId="4" fontId="16" fillId="0" borderId="10" xfId="55" applyNumberFormat="1" applyFont="1" applyBorder="1" applyAlignment="1">
      <alignment horizontal="center" wrapText="1"/>
      <protection/>
    </xf>
    <xf numFmtId="4" fontId="16" fillId="0" borderId="15" xfId="55" applyNumberFormat="1" applyFont="1" applyBorder="1" applyAlignment="1">
      <alignment horizontal="center" wrapText="1"/>
      <protection/>
    </xf>
    <xf numFmtId="4" fontId="16" fillId="0" borderId="11" xfId="55" applyNumberFormat="1" applyFont="1" applyBorder="1" applyAlignment="1">
      <alignment horizontal="center" wrapText="1"/>
      <protection/>
    </xf>
    <xf numFmtId="0" fontId="8" fillId="0" borderId="12" xfId="55" applyFont="1" applyBorder="1" applyAlignment="1">
      <alignment horizontal="center" vertical="center"/>
      <protection/>
    </xf>
    <xf numFmtId="4" fontId="16" fillId="0" borderId="16" xfId="55" applyNumberFormat="1" applyFont="1" applyBorder="1" applyAlignment="1">
      <alignment horizontal="center"/>
      <protection/>
    </xf>
    <xf numFmtId="4" fontId="16" fillId="0" borderId="17" xfId="55" applyNumberFormat="1" applyFont="1" applyBorder="1" applyAlignment="1">
      <alignment horizontal="center"/>
      <protection/>
    </xf>
    <xf numFmtId="4" fontId="8" fillId="0" borderId="11" xfId="55" applyNumberFormat="1" applyFont="1" applyBorder="1" applyAlignment="1">
      <alignment horizontal="center" wrapText="1"/>
      <protection/>
    </xf>
    <xf numFmtId="4" fontId="8" fillId="0" borderId="18" xfId="55" applyNumberFormat="1" applyFont="1" applyBorder="1" applyAlignment="1">
      <alignment horizontal="center" wrapText="1"/>
      <protection/>
    </xf>
    <xf numFmtId="4" fontId="8" fillId="0" borderId="10" xfId="55" applyNumberFormat="1" applyFont="1" applyBorder="1" applyAlignment="1">
      <alignment horizontal="center" wrapText="1"/>
      <protection/>
    </xf>
    <xf numFmtId="4" fontId="8" fillId="0" borderId="19" xfId="55" applyNumberFormat="1" applyFont="1" applyBorder="1" applyAlignment="1">
      <alignment horizontal="center" wrapText="1"/>
      <protection/>
    </xf>
    <xf numFmtId="4" fontId="8" fillId="0" borderId="17" xfId="55" applyNumberFormat="1" applyFont="1" applyBorder="1" applyAlignment="1">
      <alignment horizontal="center" wrapText="1"/>
      <protection/>
    </xf>
    <xf numFmtId="49" fontId="8" fillId="0" borderId="12" xfId="55" applyNumberFormat="1" applyFont="1" applyBorder="1" applyAlignment="1">
      <alignment horizontal="center" vertical="center" wrapText="1"/>
      <protection/>
    </xf>
    <xf numFmtId="49" fontId="8" fillId="33" borderId="16" xfId="55" applyNumberFormat="1" applyFont="1" applyFill="1" applyBorder="1" applyAlignment="1" applyProtection="1">
      <alignment horizontal="center" vertical="center"/>
      <protection/>
    </xf>
    <xf numFmtId="49" fontId="8" fillId="33" borderId="19" xfId="55" applyNumberFormat="1" applyFont="1" applyFill="1" applyBorder="1" applyAlignment="1" applyProtection="1">
      <alignment horizontal="center" vertical="center"/>
      <protection/>
    </xf>
    <xf numFmtId="49" fontId="8" fillId="33" borderId="17" xfId="55" applyNumberFormat="1" applyFont="1" applyFill="1" applyBorder="1" applyAlignment="1" applyProtection="1">
      <alignment horizontal="center" vertical="center"/>
      <protection/>
    </xf>
    <xf numFmtId="4" fontId="8" fillId="0" borderId="16" xfId="55" applyNumberFormat="1" applyFont="1" applyBorder="1" applyAlignment="1">
      <alignment horizontal="center"/>
      <protection/>
    </xf>
    <xf numFmtId="4" fontId="8" fillId="0" borderId="19" xfId="55" applyNumberFormat="1" applyFont="1" applyBorder="1" applyAlignment="1">
      <alignment horizontal="center"/>
      <protection/>
    </xf>
    <xf numFmtId="4" fontId="8" fillId="0" borderId="17" xfId="55" applyNumberFormat="1" applyFont="1" applyBorder="1" applyAlignment="1">
      <alignment horizontal="center"/>
      <protection/>
    </xf>
    <xf numFmtId="0" fontId="8" fillId="0" borderId="0" xfId="55" applyFont="1" applyBorder="1">
      <alignment/>
      <protection/>
    </xf>
    <xf numFmtId="0" fontId="6" fillId="0" borderId="0" xfId="0" applyFont="1" applyAlignment="1">
      <alignment horizontal="left" vertical="center"/>
    </xf>
    <xf numFmtId="0" fontId="8" fillId="0" borderId="20" xfId="55" applyFont="1" applyBorder="1" applyAlignment="1">
      <alignment horizontal="center" vertical="center" wrapText="1"/>
      <protection/>
    </xf>
    <xf numFmtId="4" fontId="16" fillId="0" borderId="21" xfId="55" applyNumberFormat="1" applyFont="1" applyBorder="1" applyAlignment="1">
      <alignment horizontal="center" wrapText="1"/>
      <protection/>
    </xf>
    <xf numFmtId="0" fontId="26" fillId="0" borderId="0" xfId="55" applyFont="1">
      <alignment/>
      <protection/>
    </xf>
    <xf numFmtId="4" fontId="8" fillId="0" borderId="22" xfId="55" applyNumberFormat="1" applyFont="1" applyBorder="1" applyAlignment="1">
      <alignment horizontal="center" wrapText="1"/>
      <protection/>
    </xf>
    <xf numFmtId="4" fontId="8" fillId="0" borderId="23" xfId="55" applyNumberFormat="1" applyFont="1" applyBorder="1" applyAlignment="1">
      <alignment horizontal="center" wrapText="1"/>
      <protection/>
    </xf>
    <xf numFmtId="4" fontId="8" fillId="0" borderId="24" xfId="55" applyNumberFormat="1" applyFont="1" applyBorder="1" applyAlignment="1">
      <alignment horizontal="center" wrapText="1"/>
      <protection/>
    </xf>
    <xf numFmtId="4" fontId="8" fillId="0" borderId="25" xfId="55" applyNumberFormat="1" applyFont="1" applyBorder="1" applyAlignment="1">
      <alignment horizontal="center" wrapText="1"/>
      <protection/>
    </xf>
    <xf numFmtId="4" fontId="8" fillId="0" borderId="26" xfId="55" applyNumberFormat="1" applyFont="1" applyBorder="1" applyAlignment="1">
      <alignment horizontal="center" wrapText="1"/>
      <protection/>
    </xf>
    <xf numFmtId="4" fontId="8" fillId="0" borderId="27" xfId="55" applyNumberFormat="1" applyFont="1" applyBorder="1" applyAlignment="1">
      <alignment horizontal="center" wrapText="1"/>
      <protection/>
    </xf>
    <xf numFmtId="0" fontId="8" fillId="0" borderId="16" xfId="55" applyFont="1" applyFill="1" applyBorder="1" applyAlignment="1" applyProtection="1">
      <alignment wrapText="1"/>
      <protection/>
    </xf>
    <xf numFmtId="0" fontId="8" fillId="0" borderId="19" xfId="55" applyFont="1" applyFill="1" applyBorder="1" applyAlignment="1" applyProtection="1">
      <alignment wrapText="1"/>
      <protection/>
    </xf>
    <xf numFmtId="0" fontId="8" fillId="33" borderId="19" xfId="55" applyFont="1" applyFill="1" applyBorder="1" applyAlignment="1" applyProtection="1">
      <alignment wrapText="1"/>
      <protection/>
    </xf>
    <xf numFmtId="0" fontId="8" fillId="33" borderId="17" xfId="55" applyFont="1" applyFill="1" applyBorder="1" applyAlignment="1" applyProtection="1">
      <alignment wrapText="1"/>
      <protection/>
    </xf>
    <xf numFmtId="0" fontId="8" fillId="33" borderId="16" xfId="55" applyFont="1" applyFill="1" applyBorder="1" applyAlignment="1" applyProtection="1">
      <alignment wrapText="1"/>
      <protection/>
    </xf>
    <xf numFmtId="4" fontId="8" fillId="0" borderId="16" xfId="55" applyNumberFormat="1" applyFont="1" applyBorder="1" applyAlignment="1">
      <alignment horizontal="center" wrapText="1"/>
      <protection/>
    </xf>
    <xf numFmtId="4" fontId="8" fillId="0" borderId="28" xfId="55" applyNumberFormat="1" applyFont="1" applyBorder="1" applyAlignment="1">
      <alignment horizontal="center" wrapText="1"/>
      <protection/>
    </xf>
    <xf numFmtId="4" fontId="8" fillId="0" borderId="14" xfId="55" applyNumberFormat="1" applyFont="1" applyBorder="1" applyAlignment="1">
      <alignment horizontal="center" wrapText="1"/>
      <protection/>
    </xf>
    <xf numFmtId="4" fontId="8" fillId="0" borderId="0" xfId="55" applyNumberFormat="1" applyFont="1" applyBorder="1" applyAlignment="1">
      <alignment horizontal="center" wrapText="1"/>
      <protection/>
    </xf>
    <xf numFmtId="4" fontId="8" fillId="0" borderId="29" xfId="55" applyNumberFormat="1" applyFont="1" applyBorder="1" applyAlignment="1">
      <alignment horizontal="center" wrapText="1"/>
      <protection/>
    </xf>
    <xf numFmtId="4" fontId="8" fillId="0" borderId="14" xfId="55" applyNumberFormat="1" applyFont="1" applyBorder="1" applyAlignment="1">
      <alignment horizontal="center"/>
      <protection/>
    </xf>
    <xf numFmtId="0" fontId="8" fillId="0" borderId="0" xfId="55" applyFont="1" applyAlignment="1">
      <alignment vertical="top"/>
      <protection/>
    </xf>
    <xf numFmtId="0" fontId="7" fillId="0" borderId="0" xfId="55" applyFont="1">
      <alignment/>
      <protection/>
    </xf>
    <xf numFmtId="0" fontId="8" fillId="2" borderId="12" xfId="55" applyFont="1" applyFill="1" applyBorder="1" applyAlignment="1">
      <alignment horizontal="center" vertical="center" wrapText="1"/>
      <protection/>
    </xf>
    <xf numFmtId="4" fontId="8" fillId="2" borderId="11" xfId="55" applyNumberFormat="1" applyFont="1" applyFill="1" applyBorder="1" applyAlignment="1">
      <alignment horizontal="center" wrapText="1"/>
      <protection/>
    </xf>
    <xf numFmtId="4" fontId="8" fillId="2" borderId="18" xfId="55" applyNumberFormat="1" applyFont="1" applyFill="1" applyBorder="1" applyAlignment="1">
      <alignment horizontal="center" wrapText="1"/>
      <protection/>
    </xf>
    <xf numFmtId="4" fontId="8" fillId="2" borderId="10" xfId="55" applyNumberFormat="1" applyFont="1" applyFill="1" applyBorder="1" applyAlignment="1">
      <alignment horizontal="center" wrapText="1"/>
      <protection/>
    </xf>
    <xf numFmtId="4" fontId="8" fillId="2" borderId="19" xfId="55" applyNumberFormat="1" applyFont="1" applyFill="1" applyBorder="1" applyAlignment="1">
      <alignment horizontal="center" wrapText="1"/>
      <protection/>
    </xf>
    <xf numFmtId="4" fontId="8" fillId="2" borderId="12" xfId="55" applyNumberFormat="1" applyFont="1" applyFill="1" applyBorder="1" applyAlignment="1">
      <alignment horizontal="center" wrapText="1"/>
      <protection/>
    </xf>
    <xf numFmtId="4" fontId="8" fillId="2" borderId="14" xfId="55" applyNumberFormat="1" applyFont="1" applyFill="1" applyBorder="1" applyAlignment="1">
      <alignment horizontal="center" wrapText="1"/>
      <protection/>
    </xf>
    <xf numFmtId="4" fontId="8" fillId="2" borderId="17" xfId="55" applyNumberFormat="1" applyFont="1" applyFill="1" applyBorder="1" applyAlignment="1">
      <alignment horizontal="center" wrapText="1"/>
      <protection/>
    </xf>
    <xf numFmtId="4" fontId="8" fillId="2" borderId="16" xfId="55" applyNumberFormat="1" applyFont="1" applyFill="1" applyBorder="1" applyAlignment="1">
      <alignment horizontal="center" wrapText="1"/>
      <protection/>
    </xf>
    <xf numFmtId="4" fontId="8" fillId="2" borderId="30" xfId="55" applyNumberFormat="1" applyFont="1" applyFill="1" applyBorder="1" applyAlignment="1">
      <alignment horizontal="center" wrapText="1"/>
      <protection/>
    </xf>
    <xf numFmtId="4" fontId="8" fillId="2" borderId="31" xfId="55" applyNumberFormat="1" applyFont="1" applyFill="1" applyBorder="1" applyAlignment="1">
      <alignment horizontal="center" wrapText="1"/>
      <protection/>
    </xf>
    <xf numFmtId="4" fontId="8" fillId="2" borderId="30" xfId="55" applyNumberFormat="1" applyFont="1" applyFill="1" applyBorder="1" applyAlignment="1">
      <alignment horizontal="center"/>
      <protection/>
    </xf>
    <xf numFmtId="4" fontId="11" fillId="2" borderId="12" xfId="55" applyNumberFormat="1" applyFont="1" applyFill="1" applyBorder="1" applyAlignment="1">
      <alignment horizontal="center" wrapText="1"/>
      <protection/>
    </xf>
    <xf numFmtId="0" fontId="26" fillId="0" borderId="0" xfId="55" applyFont="1" applyAlignment="1">
      <alignment vertical="top"/>
      <protection/>
    </xf>
    <xf numFmtId="4" fontId="16" fillId="2" borderId="11" xfId="55" applyNumberFormat="1" applyFont="1" applyFill="1" applyBorder="1" applyAlignment="1">
      <alignment horizontal="center" wrapText="1"/>
      <protection/>
    </xf>
    <xf numFmtId="4" fontId="16" fillId="2" borderId="10" xfId="55" applyNumberFormat="1" applyFont="1" applyFill="1" applyBorder="1" applyAlignment="1">
      <alignment horizontal="center" wrapText="1"/>
      <protection/>
    </xf>
    <xf numFmtId="0" fontId="12" fillId="0" borderId="0" xfId="0" applyFont="1" applyAlignment="1">
      <alignment horizontal="left"/>
    </xf>
    <xf numFmtId="0" fontId="30" fillId="0" borderId="0" xfId="0" applyFont="1" applyAlignment="1">
      <alignment horizontal="left"/>
    </xf>
    <xf numFmtId="0" fontId="8" fillId="2" borderId="20" xfId="55" applyFont="1" applyFill="1" applyBorder="1" applyAlignment="1">
      <alignment horizontal="center" vertical="center" wrapText="1"/>
      <protection/>
    </xf>
    <xf numFmtId="49" fontId="8" fillId="2" borderId="12" xfId="55" applyNumberFormat="1" applyFont="1" applyFill="1" applyBorder="1" applyAlignment="1">
      <alignment horizontal="center" vertical="center" wrapText="1"/>
      <protection/>
    </xf>
    <xf numFmtId="49" fontId="8" fillId="2" borderId="12" xfId="55" applyNumberFormat="1" applyFont="1" applyFill="1" applyBorder="1" applyAlignment="1" applyProtection="1">
      <alignment horizontal="center" vertical="center"/>
      <protection/>
    </xf>
    <xf numFmtId="0" fontId="8" fillId="2" borderId="12" xfId="55" applyFont="1" applyFill="1" applyBorder="1" applyAlignment="1" applyProtection="1">
      <alignment wrapText="1"/>
      <protection/>
    </xf>
    <xf numFmtId="4" fontId="8" fillId="2" borderId="20" xfId="55" applyNumberFormat="1" applyFont="1" applyFill="1" applyBorder="1" applyAlignment="1">
      <alignment horizontal="center" wrapText="1"/>
      <protection/>
    </xf>
    <xf numFmtId="4" fontId="8" fillId="2" borderId="32" xfId="55" applyNumberFormat="1" applyFont="1" applyFill="1" applyBorder="1" applyAlignment="1">
      <alignment horizontal="center" wrapText="1"/>
      <protection/>
    </xf>
    <xf numFmtId="4" fontId="11" fillId="2" borderId="32" xfId="55" applyNumberFormat="1" applyFont="1" applyFill="1" applyBorder="1" applyAlignment="1">
      <alignment horizontal="center" wrapText="1"/>
      <protection/>
    </xf>
    <xf numFmtId="4" fontId="11" fillId="2" borderId="12" xfId="55" applyNumberFormat="1" applyFont="1" applyFill="1" applyBorder="1" applyAlignment="1">
      <alignment horizontal="center"/>
      <protection/>
    </xf>
    <xf numFmtId="0" fontId="8" fillId="2" borderId="12" xfId="55" applyFont="1" applyFill="1" applyBorder="1" applyAlignment="1">
      <alignment horizontal="center" vertical="center"/>
      <protection/>
    </xf>
    <xf numFmtId="4" fontId="8" fillId="2" borderId="12" xfId="55" applyNumberFormat="1" applyFont="1" applyFill="1" applyBorder="1" applyAlignment="1">
      <alignment horizontal="center"/>
      <protection/>
    </xf>
    <xf numFmtId="0" fontId="8" fillId="2" borderId="13" xfId="55" applyFont="1" applyFill="1" applyBorder="1" applyAlignment="1">
      <alignment horizontal="center" vertical="center" wrapText="1"/>
      <protection/>
    </xf>
    <xf numFmtId="0" fontId="18" fillId="0" borderId="0" xfId="54" applyFont="1" applyAlignment="1">
      <alignment horizontal="right" vertical="center"/>
      <protection/>
    </xf>
    <xf numFmtId="0" fontId="11" fillId="0" borderId="0" xfId="55" applyFont="1" applyFill="1" applyBorder="1" applyAlignment="1">
      <alignment horizontal="justify" vertical="top" wrapText="1"/>
      <protection/>
    </xf>
    <xf numFmtId="4" fontId="11" fillId="0" borderId="0" xfId="55" applyNumberFormat="1" applyFont="1" applyFill="1" applyBorder="1" applyAlignment="1">
      <alignment horizontal="center" wrapText="1"/>
      <protection/>
    </xf>
    <xf numFmtId="4" fontId="11" fillId="0" borderId="0" xfId="55" applyNumberFormat="1" applyFont="1" applyFill="1" applyBorder="1" applyAlignment="1">
      <alignment horizontal="center"/>
      <protection/>
    </xf>
    <xf numFmtId="0" fontId="20" fillId="0" borderId="0" xfId="54" applyFont="1" applyAlignment="1">
      <alignment horizontal="right" vertical="center"/>
      <protection/>
    </xf>
    <xf numFmtId="0" fontId="3" fillId="0" borderId="0" xfId="0" applyFont="1" applyAlignment="1">
      <alignment horizontal="right"/>
    </xf>
    <xf numFmtId="0" fontId="4" fillId="0" borderId="0" xfId="0" applyFont="1" applyAlignment="1">
      <alignment horizontal="center" vertical="top"/>
    </xf>
    <xf numFmtId="0" fontId="6" fillId="0" borderId="0" xfId="0" applyFont="1" applyFill="1" applyAlignment="1">
      <alignment horizontal="left"/>
    </xf>
    <xf numFmtId="0" fontId="8" fillId="0" borderId="0" xfId="0" applyFont="1" applyFill="1" applyAlignment="1">
      <alignment horizontal="right"/>
    </xf>
    <xf numFmtId="0" fontId="6"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49" fontId="6" fillId="0" borderId="0" xfId="0" applyNumberFormat="1" applyFont="1" applyFill="1" applyBorder="1" applyAlignment="1">
      <alignment horizontal="center"/>
    </xf>
    <xf numFmtId="0" fontId="5" fillId="0" borderId="36" xfId="0" applyFont="1" applyFill="1" applyBorder="1" applyAlignment="1">
      <alignment vertical="center"/>
    </xf>
    <xf numFmtId="0" fontId="5" fillId="0" borderId="36" xfId="0" applyNumberFormat="1" applyFont="1" applyFill="1" applyBorder="1" applyAlignment="1">
      <alignment horizontal="center" vertical="center"/>
    </xf>
    <xf numFmtId="0" fontId="5" fillId="0" borderId="36" xfId="0" applyNumberFormat="1" applyFont="1" applyFill="1" applyBorder="1" applyAlignment="1">
      <alignment horizontal="right"/>
    </xf>
    <xf numFmtId="0" fontId="5" fillId="0" borderId="36" xfId="0" applyNumberFormat="1" applyFont="1" applyFill="1" applyBorder="1" applyAlignment="1">
      <alignment horizontal="right" vertical="top"/>
    </xf>
    <xf numFmtId="0" fontId="5" fillId="0" borderId="0" xfId="0" applyFont="1" applyFill="1" applyAlignment="1">
      <alignment horizontal="left"/>
    </xf>
    <xf numFmtId="0" fontId="5" fillId="0" borderId="0" xfId="0" applyFont="1" applyFill="1" applyAlignment="1">
      <alignment horizontal="center" vertical="center"/>
    </xf>
    <xf numFmtId="0" fontId="4" fillId="0" borderId="0" xfId="0" applyFont="1" applyFill="1" applyAlignment="1">
      <alignment horizontal="center" vertical="top"/>
    </xf>
    <xf numFmtId="0" fontId="6" fillId="0" borderId="0" xfId="0" applyFont="1" applyFill="1" applyBorder="1" applyAlignment="1">
      <alignment horizontal="center"/>
    </xf>
    <xf numFmtId="0" fontId="5" fillId="0" borderId="0" xfId="0" applyFont="1" applyFill="1" applyAlignment="1">
      <alignment horizontal="left" wrapText="1"/>
    </xf>
    <xf numFmtId="0" fontId="32" fillId="0" borderId="0" xfId="0" applyFont="1" applyFill="1" applyAlignment="1">
      <alignment horizontal="left" wrapText="1"/>
    </xf>
    <xf numFmtId="0" fontId="6" fillId="0" borderId="0" xfId="0" applyFont="1" applyFill="1" applyAlignment="1">
      <alignment horizontal="right"/>
    </xf>
    <xf numFmtId="49" fontId="6" fillId="0" borderId="0" xfId="0" applyNumberFormat="1" applyFont="1" applyFill="1" applyBorder="1" applyAlignment="1">
      <alignment horizontal="left"/>
    </xf>
    <xf numFmtId="0" fontId="8" fillId="0" borderId="0" xfId="0" applyFont="1" applyFill="1" applyAlignment="1">
      <alignment horizontal="left"/>
    </xf>
    <xf numFmtId="49" fontId="8" fillId="0" borderId="0" xfId="0" applyNumberFormat="1" applyFont="1" applyFill="1" applyAlignment="1">
      <alignment horizontal="right"/>
    </xf>
    <xf numFmtId="0" fontId="8" fillId="0" borderId="0" xfId="0" applyFont="1" applyFill="1" applyAlignment="1">
      <alignment horizontal="center"/>
    </xf>
    <xf numFmtId="49" fontId="8" fillId="0" borderId="0" xfId="0" applyNumberFormat="1" applyFont="1" applyFill="1" applyBorder="1" applyAlignment="1">
      <alignment horizontal="left"/>
    </xf>
    <xf numFmtId="0" fontId="8" fillId="0" borderId="0" xfId="0" applyFont="1" applyFill="1" applyAlignment="1">
      <alignment/>
    </xf>
    <xf numFmtId="0" fontId="3" fillId="0" borderId="0" xfId="0" applyFont="1" applyFill="1" applyAlignment="1">
      <alignment horizontal="left" vertical="center"/>
    </xf>
    <xf numFmtId="0" fontId="6" fillId="0" borderId="37" xfId="0" applyFont="1" applyBorder="1" applyAlignment="1">
      <alignment horizontal="center" vertical="center"/>
    </xf>
    <xf numFmtId="0" fontId="6" fillId="0" borderId="37" xfId="0" applyFont="1" applyBorder="1" applyAlignment="1">
      <alignment horizontal="left"/>
    </xf>
    <xf numFmtId="0" fontId="6" fillId="0" borderId="0" xfId="0" applyFont="1" applyFill="1" applyAlignment="1">
      <alignment horizontal="center" vertical="top"/>
    </xf>
    <xf numFmtId="0" fontId="6" fillId="0" borderId="0" xfId="0" applyFont="1" applyFill="1" applyAlignment="1">
      <alignment horizontal="left" wrapText="1"/>
    </xf>
    <xf numFmtId="0" fontId="0" fillId="0" borderId="0" xfId="0" applyFont="1" applyFill="1" applyAlignment="1">
      <alignment horizontal="left" wrapText="1"/>
    </xf>
    <xf numFmtId="0" fontId="6" fillId="0" borderId="0" xfId="0" applyFont="1" applyFill="1" applyAlignment="1">
      <alignment/>
    </xf>
    <xf numFmtId="0" fontId="0" fillId="0" borderId="0" xfId="0" applyFont="1" applyFill="1" applyBorder="1" applyAlignment="1">
      <alignment/>
    </xf>
    <xf numFmtId="0" fontId="6"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32" fillId="0" borderId="0" xfId="0" applyFont="1" applyFill="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37" xfId="0" applyFont="1" applyFill="1" applyBorder="1" applyAlignment="1">
      <alignment horizontal="left" vertical="center"/>
    </xf>
    <xf numFmtId="0" fontId="6" fillId="0" borderId="37" xfId="0" applyFont="1" applyFill="1" applyBorder="1" applyAlignment="1">
      <alignment horizontal="left"/>
    </xf>
    <xf numFmtId="0" fontId="6" fillId="0" borderId="0" xfId="0" applyFont="1" applyFill="1" applyBorder="1" applyAlignment="1">
      <alignment horizontal="center" vertical="top"/>
    </xf>
    <xf numFmtId="0" fontId="0" fillId="0" borderId="37" xfId="0" applyFont="1" applyFill="1" applyBorder="1" applyAlignment="1">
      <alignment horizontal="left" vertical="center" wrapText="1"/>
    </xf>
    <xf numFmtId="0" fontId="0" fillId="0" borderId="37" xfId="0" applyFont="1" applyFill="1" applyBorder="1" applyAlignment="1">
      <alignment horizontal="left" wrapText="1"/>
    </xf>
    <xf numFmtId="0" fontId="6" fillId="0" borderId="29" xfId="0" applyFont="1" applyFill="1" applyBorder="1" applyAlignment="1">
      <alignment horizontal="left" vertical="center"/>
    </xf>
    <xf numFmtId="0" fontId="6" fillId="0" borderId="29" xfId="0" applyFont="1" applyFill="1" applyBorder="1" applyAlignment="1">
      <alignment horizontal="center" vertical="top"/>
    </xf>
    <xf numFmtId="0" fontId="0" fillId="0" borderId="29" xfId="0" applyFont="1" applyFill="1" applyBorder="1" applyAlignment="1">
      <alignment horizontal="left" vertical="center"/>
    </xf>
    <xf numFmtId="0" fontId="0" fillId="0" borderId="29" xfId="0" applyFont="1" applyFill="1" applyBorder="1" applyAlignment="1">
      <alignment/>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 fontId="5" fillId="0" borderId="39" xfId="0" applyNumberFormat="1" applyFont="1" applyFill="1" applyBorder="1" applyAlignment="1">
      <alignment horizontal="center" vertical="center"/>
    </xf>
    <xf numFmtId="0" fontId="5" fillId="0" borderId="35" xfId="0" applyFont="1" applyFill="1" applyBorder="1" applyAlignment="1">
      <alignment horizontal="left" vertical="center"/>
    </xf>
    <xf numFmtId="0" fontId="5" fillId="0" borderId="0" xfId="0" applyFont="1" applyFill="1" applyBorder="1" applyAlignment="1">
      <alignment vertical="top"/>
    </xf>
    <xf numFmtId="0" fontId="5" fillId="0" borderId="22" xfId="0" applyFont="1" applyFill="1" applyBorder="1" applyAlignment="1">
      <alignment vertical="top"/>
    </xf>
    <xf numFmtId="0" fontId="5" fillId="0" borderId="37" xfId="0" applyFont="1" applyFill="1" applyBorder="1" applyAlignment="1">
      <alignment vertical="top"/>
    </xf>
    <xf numFmtId="0" fontId="5" fillId="0" borderId="29" xfId="0" applyFont="1" applyFill="1" applyBorder="1" applyAlignment="1">
      <alignment vertical="top"/>
    </xf>
    <xf numFmtId="0" fontId="5" fillId="0" borderId="0" xfId="0" applyFont="1" applyFill="1" applyBorder="1" applyAlignment="1">
      <alignment vertical="top" wrapText="1"/>
    </xf>
    <xf numFmtId="0" fontId="5" fillId="0" borderId="22" xfId="0" applyFont="1" applyFill="1" applyBorder="1" applyAlignment="1">
      <alignment vertical="top" wrapText="1"/>
    </xf>
    <xf numFmtId="49" fontId="5" fillId="0" borderId="33" xfId="0" applyNumberFormat="1" applyFont="1" applyFill="1" applyBorder="1" applyAlignment="1">
      <alignment horizontal="center" vertical="center" wrapText="1"/>
    </xf>
    <xf numFmtId="0" fontId="5" fillId="0" borderId="22" xfId="0" applyFont="1" applyFill="1" applyBorder="1" applyAlignment="1">
      <alignment vertical="center"/>
    </xf>
    <xf numFmtId="0" fontId="5" fillId="0" borderId="37"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3" xfId="0" applyFont="1" applyFill="1" applyBorder="1" applyAlignment="1">
      <alignment vertical="center"/>
    </xf>
    <xf numFmtId="0" fontId="6" fillId="0" borderId="0" xfId="0" applyFont="1" applyBorder="1" applyAlignment="1">
      <alignment horizontal="left"/>
    </xf>
    <xf numFmtId="49" fontId="5"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5" fillId="0" borderId="0" xfId="0" applyNumberFormat="1" applyFont="1" applyFill="1" applyBorder="1" applyAlignment="1">
      <alignment horizontal="right"/>
    </xf>
    <xf numFmtId="4" fontId="5" fillId="0" borderId="0" xfId="0" applyNumberFormat="1" applyFont="1" applyFill="1" applyBorder="1" applyAlignment="1">
      <alignment horizontal="right"/>
    </xf>
    <xf numFmtId="0" fontId="0" fillId="0" borderId="0" xfId="0" applyBorder="1" applyAlignment="1">
      <alignment vertical="top"/>
    </xf>
    <xf numFmtId="0" fontId="6" fillId="0" borderId="0" xfId="0" applyFont="1" applyAlignment="1">
      <alignment horizontal="left" vertical="top" wrapText="1"/>
    </xf>
    <xf numFmtId="0" fontId="35" fillId="0" borderId="0" xfId="0" applyFont="1" applyAlignment="1">
      <alignment horizontal="left"/>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horizontal="center" vertical="center"/>
    </xf>
    <xf numFmtId="0" fontId="0" fillId="0" borderId="12" xfId="0" applyBorder="1" applyAlignment="1">
      <alignment horizontal="left" vertical="top"/>
    </xf>
    <xf numFmtId="0" fontId="0" fillId="0" borderId="12" xfId="0" applyBorder="1" applyAlignment="1">
      <alignment horizontal="left" wrapText="1"/>
    </xf>
    <xf numFmtId="0" fontId="0" fillId="0" borderId="12" xfId="0" applyBorder="1" applyAlignment="1">
      <alignment horizontal="left" vertical="top" indent="1"/>
    </xf>
    <xf numFmtId="0" fontId="0" fillId="0" borderId="12" xfId="0" applyBorder="1" applyAlignment="1">
      <alignment horizontal="right" vertical="top"/>
    </xf>
    <xf numFmtId="0" fontId="0" fillId="0" borderId="12" xfId="0" applyBorder="1" applyAlignment="1">
      <alignment horizontal="center"/>
    </xf>
    <xf numFmtId="0" fontId="0" fillId="0" borderId="37" xfId="0" applyBorder="1" applyAlignment="1">
      <alignment/>
    </xf>
    <xf numFmtId="0" fontId="35" fillId="0" borderId="0" xfId="0" applyFont="1" applyBorder="1" applyAlignment="1">
      <alignment vertical="top"/>
    </xf>
    <xf numFmtId="0" fontId="0" fillId="0" borderId="12" xfId="0" applyBorder="1" applyAlignment="1">
      <alignment horizontal="center" vertical="top"/>
    </xf>
    <xf numFmtId="0" fontId="0" fillId="0" borderId="12" xfId="0" applyBorder="1" applyAlignment="1">
      <alignment horizontal="center" wrapText="1"/>
    </xf>
    <xf numFmtId="0" fontId="0" fillId="0" borderId="12" xfId="0" applyBorder="1" applyAlignment="1">
      <alignment horizontal="left" vertical="top" indent="2"/>
    </xf>
    <xf numFmtId="0" fontId="0" fillId="0" borderId="12" xfId="0" applyBorder="1" applyAlignment="1">
      <alignment horizontal="left"/>
    </xf>
    <xf numFmtId="0" fontId="6" fillId="0" borderId="0" xfId="0" applyFont="1" applyBorder="1" applyAlignment="1">
      <alignment vertical="top"/>
    </xf>
    <xf numFmtId="0" fontId="6" fillId="0" borderId="0" xfId="0" applyFont="1" applyAlignment="1">
      <alignment/>
    </xf>
    <xf numFmtId="0" fontId="35" fillId="0" borderId="0" xfId="0" applyFont="1" applyBorder="1" applyAlignment="1">
      <alignment vertical="top"/>
    </xf>
    <xf numFmtId="0" fontId="0" fillId="0" borderId="14" xfId="0" applyBorder="1" applyAlignment="1">
      <alignment horizontal="center" wrapText="1"/>
    </xf>
    <xf numFmtId="0" fontId="0" fillId="0" borderId="14" xfId="0" applyBorder="1" applyAlignment="1">
      <alignment horizontal="left" wrapText="1"/>
    </xf>
    <xf numFmtId="0" fontId="0" fillId="0" borderId="40" xfId="0" applyBorder="1" applyAlignment="1">
      <alignment horizontal="left" vertical="top" indent="1"/>
    </xf>
    <xf numFmtId="0" fontId="0" fillId="0" borderId="40" xfId="0" applyBorder="1" applyAlignment="1">
      <alignment horizontal="left"/>
    </xf>
    <xf numFmtId="0" fontId="0" fillId="0" borderId="40" xfId="0" applyBorder="1" applyAlignment="1">
      <alignment horizontal="left" vertical="top"/>
    </xf>
    <xf numFmtId="0" fontId="0" fillId="0" borderId="12" xfId="0" applyBorder="1" applyAlignment="1">
      <alignment horizontal="left" vertical="top" wrapText="1"/>
    </xf>
    <xf numFmtId="0" fontId="0" fillId="0" borderId="30" xfId="0" applyBorder="1" applyAlignment="1">
      <alignment horizontal="left" vertical="top" indent="1"/>
    </xf>
    <xf numFmtId="0" fontId="0" fillId="0" borderId="30" xfId="0" applyBorder="1" applyAlignment="1">
      <alignment horizontal="left" vertical="top"/>
    </xf>
    <xf numFmtId="0" fontId="0" fillId="0" borderId="12" xfId="0" applyBorder="1" applyAlignment="1">
      <alignment horizontal="left" vertical="top" indent="4"/>
    </xf>
    <xf numFmtId="0" fontId="0" fillId="0" borderId="0" xfId="0" applyBorder="1" applyAlignment="1">
      <alignment horizontal="center"/>
    </xf>
    <xf numFmtId="0" fontId="0" fillId="0" borderId="37" xfId="0" applyBorder="1" applyAlignment="1">
      <alignment horizontal="center"/>
    </xf>
    <xf numFmtId="0" fontId="0" fillId="0" borderId="0" xfId="0" applyFont="1" applyBorder="1" applyAlignment="1">
      <alignment vertical="center"/>
    </xf>
    <xf numFmtId="0" fontId="35" fillId="0" borderId="0" xfId="0" applyFont="1" applyBorder="1" applyAlignment="1">
      <alignment horizontal="center" vertical="center"/>
    </xf>
    <xf numFmtId="0" fontId="5" fillId="0" borderId="12" xfId="0" applyFont="1" applyBorder="1" applyAlignment="1">
      <alignment horizontal="left" vertical="top" wrapText="1"/>
    </xf>
    <xf numFmtId="0" fontId="10" fillId="0" borderId="12" xfId="0" applyFont="1" applyBorder="1" applyAlignment="1">
      <alignment horizontal="left"/>
    </xf>
    <xf numFmtId="0" fontId="1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top" indent="1"/>
    </xf>
    <xf numFmtId="0" fontId="0" fillId="0" borderId="12" xfId="0" applyFont="1" applyBorder="1" applyAlignment="1">
      <alignment horizontal="left" vertical="top" wrapText="1"/>
    </xf>
    <xf numFmtId="0" fontId="0" fillId="0" borderId="12" xfId="0" applyFont="1" applyBorder="1" applyAlignment="1">
      <alignment horizontal="left" vertical="top"/>
    </xf>
    <xf numFmtId="0" fontId="0" fillId="0" borderId="12" xfId="0" applyFont="1" applyBorder="1" applyAlignment="1">
      <alignment horizontal="center" vertical="center"/>
    </xf>
    <xf numFmtId="0" fontId="0" fillId="0" borderId="12" xfId="0" applyFont="1" applyBorder="1" applyAlignment="1">
      <alignment horizontal="left" wrapText="1"/>
    </xf>
    <xf numFmtId="0" fontId="0" fillId="0" borderId="12" xfId="0" applyFont="1" applyBorder="1" applyAlignment="1">
      <alignment horizontal="left"/>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0" fontId="0" fillId="0" borderId="12" xfId="0" applyFont="1" applyBorder="1" applyAlignment="1">
      <alignment horizontal="left" vertical="top" indent="2"/>
    </xf>
    <xf numFmtId="0" fontId="6" fillId="0" borderId="12" xfId="0" applyFont="1" applyBorder="1" applyAlignment="1">
      <alignment horizontal="center" vertical="center" wrapText="1"/>
    </xf>
    <xf numFmtId="0" fontId="6" fillId="0" borderId="12" xfId="0" applyFont="1" applyBorder="1" applyAlignment="1">
      <alignment horizontal="left"/>
    </xf>
    <xf numFmtId="0" fontId="0" fillId="0" borderId="12" xfId="0" applyFont="1" applyBorder="1" applyAlignment="1">
      <alignment horizontal="justify" wrapText="1"/>
    </xf>
    <xf numFmtId="0" fontId="0" fillId="0" borderId="12" xfId="0" applyFont="1" applyBorder="1" applyAlignment="1">
      <alignment horizontal="left" vertical="top" indent="6"/>
    </xf>
    <xf numFmtId="0" fontId="0" fillId="0" borderId="12" xfId="0" applyFont="1" applyBorder="1" applyAlignment="1">
      <alignment horizontal="right" vertical="center"/>
    </xf>
    <xf numFmtId="0" fontId="10" fillId="0" borderId="12" xfId="0" applyFont="1" applyBorder="1" applyAlignment="1">
      <alignment horizontal="center" wrapText="1"/>
    </xf>
    <xf numFmtId="0" fontId="10" fillId="0" borderId="12" xfId="0" applyFont="1" applyBorder="1" applyAlignment="1">
      <alignment horizontal="center" vertical="top" wrapText="1"/>
    </xf>
    <xf numFmtId="0" fontId="10" fillId="0" borderId="12" xfId="0" applyFont="1" applyBorder="1" applyAlignment="1">
      <alignment horizontal="left" vertical="top"/>
    </xf>
    <xf numFmtId="0" fontId="10" fillId="0" borderId="12" xfId="0" applyFont="1" applyBorder="1" applyAlignment="1">
      <alignment horizontal="left" vertical="top" indent="1"/>
    </xf>
    <xf numFmtId="0" fontId="10" fillId="0" borderId="12" xfId="0" applyFont="1" applyBorder="1" applyAlignment="1">
      <alignment horizontal="left" vertical="top" wrapText="1"/>
    </xf>
    <xf numFmtId="0" fontId="0" fillId="0" borderId="12" xfId="0" applyFont="1" applyBorder="1" applyAlignment="1">
      <alignment horizontal="center" vertical="top"/>
    </xf>
    <xf numFmtId="0" fontId="6" fillId="0" borderId="12" xfId="0" applyFont="1" applyBorder="1" applyAlignment="1">
      <alignment horizontal="left" wrapText="1"/>
    </xf>
    <xf numFmtId="0" fontId="0" fillId="0" borderId="12" xfId="0" applyFont="1" applyBorder="1" applyAlignment="1">
      <alignment horizontal="center"/>
    </xf>
    <xf numFmtId="0" fontId="0" fillId="0" borderId="12" xfId="0" applyFont="1" applyBorder="1" applyAlignment="1">
      <alignment horizontal="left" vertical="center" indent="2"/>
    </xf>
    <xf numFmtId="0" fontId="43" fillId="0" borderId="12" xfId="0" applyFont="1" applyBorder="1" applyAlignment="1">
      <alignment horizontal="left" wrapText="1"/>
    </xf>
    <xf numFmtId="0" fontId="43" fillId="0" borderId="12" xfId="0" applyFont="1" applyBorder="1" applyAlignment="1">
      <alignment horizontal="left" vertical="top" wrapText="1"/>
    </xf>
    <xf numFmtId="0" fontId="44" fillId="0" borderId="12" xfId="0" applyFont="1" applyBorder="1" applyAlignment="1">
      <alignment horizontal="left"/>
    </xf>
    <xf numFmtId="0" fontId="6" fillId="0" borderId="12" xfId="0" applyFont="1" applyBorder="1" applyAlignment="1">
      <alignment horizontal="left" vertical="top" wrapText="1"/>
    </xf>
    <xf numFmtId="0" fontId="0" fillId="0" borderId="12" xfId="0" applyFont="1" applyBorder="1" applyAlignment="1">
      <alignment horizontal="left" vertical="center" indent="6"/>
    </xf>
    <xf numFmtId="0" fontId="12" fillId="0" borderId="12" xfId="0" applyFont="1" applyBorder="1" applyAlignment="1">
      <alignment horizontal="left" wrapText="1"/>
    </xf>
    <xf numFmtId="0" fontId="5" fillId="0" borderId="12" xfId="0" applyFont="1" applyBorder="1" applyAlignment="1">
      <alignment horizontal="center" vertical="center" wrapText="1"/>
    </xf>
    <xf numFmtId="0" fontId="0" fillId="0" borderId="20" xfId="0" applyFont="1" applyBorder="1" applyAlignment="1">
      <alignment horizontal="left" vertical="top"/>
    </xf>
    <xf numFmtId="201" fontId="0" fillId="0" borderId="12" xfId="0" applyNumberFormat="1" applyFont="1" applyBorder="1" applyAlignment="1">
      <alignment horizontal="center" vertical="center" wrapText="1"/>
    </xf>
    <xf numFmtId="201" fontId="0" fillId="0" borderId="12" xfId="0" applyNumberFormat="1" applyFont="1" applyBorder="1" applyAlignment="1">
      <alignment horizontal="center" vertical="center"/>
    </xf>
    <xf numFmtId="201" fontId="0" fillId="0" borderId="14" xfId="0" applyNumberFormat="1" applyFont="1" applyBorder="1" applyAlignment="1">
      <alignment horizontal="center" vertical="center"/>
    </xf>
    <xf numFmtId="201" fontId="0" fillId="0" borderId="12" xfId="0" applyNumberFormat="1" applyBorder="1" applyAlignment="1">
      <alignment horizontal="center" vertical="center"/>
    </xf>
    <xf numFmtId="201" fontId="0" fillId="0" borderId="30" xfId="0" applyNumberFormat="1" applyFont="1" applyBorder="1" applyAlignment="1">
      <alignment horizontal="center" vertical="center"/>
    </xf>
    <xf numFmtId="0" fontId="0" fillId="0" borderId="0" xfId="0" applyAlignment="1">
      <alignment horizontal="center" vertical="center"/>
    </xf>
    <xf numFmtId="0" fontId="10" fillId="0" borderId="0" xfId="0" applyFont="1" applyAlignment="1">
      <alignment/>
    </xf>
    <xf numFmtId="0" fontId="10" fillId="0" borderId="12" xfId="0" applyFont="1" applyBorder="1" applyAlignment="1">
      <alignment horizontal="center" vertical="center"/>
    </xf>
    <xf numFmtId="201" fontId="10"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6" fillId="0" borderId="14" xfId="0" applyFont="1" applyBorder="1" applyAlignment="1">
      <alignment horizontal="center" vertical="center"/>
    </xf>
    <xf numFmtId="49" fontId="0" fillId="0" borderId="12" xfId="0" applyNumberFormat="1" applyBorder="1" applyAlignment="1">
      <alignment horizontal="left" vertical="top" indent="1"/>
    </xf>
    <xf numFmtId="0" fontId="0" fillId="0" borderId="37" xfId="0" applyBorder="1" applyAlignment="1">
      <alignment horizontal="center" vertical="center"/>
    </xf>
    <xf numFmtId="201" fontId="0" fillId="0" borderId="12" xfId="0" applyNumberFormat="1" applyBorder="1" applyAlignment="1">
      <alignment horizontal="center" vertical="center" wrapText="1"/>
    </xf>
    <xf numFmtId="201" fontId="0" fillId="0" borderId="0" xfId="0" applyNumberFormat="1" applyAlignment="1">
      <alignment horizontal="center" vertical="center"/>
    </xf>
    <xf numFmtId="201" fontId="0" fillId="0" borderId="37" xfId="0" applyNumberFormat="1" applyBorder="1" applyAlignment="1">
      <alignment horizontal="center" vertical="center"/>
    </xf>
    <xf numFmtId="0" fontId="0" fillId="0" borderId="12" xfId="0" applyNumberFormat="1" applyFont="1" applyBorder="1" applyAlignment="1">
      <alignment horizontal="left" vertical="top"/>
    </xf>
    <xf numFmtId="49" fontId="10" fillId="0" borderId="12" xfId="0" applyNumberFormat="1" applyFont="1" applyBorder="1" applyAlignment="1">
      <alignment horizontal="left" vertical="top" indent="1"/>
    </xf>
    <xf numFmtId="0" fontId="10" fillId="0" borderId="12" xfId="0" applyNumberFormat="1" applyFont="1" applyBorder="1" applyAlignment="1">
      <alignment horizontal="left" vertical="top"/>
    </xf>
    <xf numFmtId="201" fontId="0" fillId="0" borderId="30" xfId="0" applyNumberFormat="1" applyBorder="1" applyAlignment="1">
      <alignment horizontal="center" vertical="center"/>
    </xf>
    <xf numFmtId="4" fontId="0" fillId="0" borderId="0" xfId="0" applyNumberFormat="1" applyAlignment="1">
      <alignment/>
    </xf>
    <xf numFmtId="201" fontId="5" fillId="0" borderId="12" xfId="0" applyNumberFormat="1" applyFont="1" applyBorder="1" applyAlignment="1">
      <alignment horizontal="center" vertical="center" wrapText="1"/>
    </xf>
    <xf numFmtId="0" fontId="10" fillId="0" borderId="32" xfId="0" applyFont="1" applyBorder="1" applyAlignment="1">
      <alignment horizontal="left" vertical="top"/>
    </xf>
    <xf numFmtId="201" fontId="92" fillId="0" borderId="12" xfId="0" applyNumberFormat="1" applyFont="1" applyBorder="1" applyAlignment="1">
      <alignment horizontal="center" vertical="center"/>
    </xf>
    <xf numFmtId="201" fontId="0" fillId="0" borderId="32" xfId="0" applyNumberFormat="1" applyFont="1" applyBorder="1" applyAlignment="1">
      <alignment horizontal="center" vertical="center"/>
    </xf>
    <xf numFmtId="201" fontId="92" fillId="0" borderId="32" xfId="0" applyNumberFormat="1" applyFont="1" applyBorder="1" applyAlignment="1">
      <alignment horizontal="center" vertical="center"/>
    </xf>
    <xf numFmtId="0" fontId="0" fillId="0" borderId="14" xfId="0" applyFont="1" applyBorder="1" applyAlignment="1">
      <alignment horizontal="left" vertical="top"/>
    </xf>
    <xf numFmtId="0" fontId="0" fillId="0" borderId="30" xfId="0" applyFont="1" applyBorder="1" applyAlignment="1">
      <alignment horizontal="left" vertical="top"/>
    </xf>
    <xf numFmtId="201" fontId="0" fillId="0" borderId="41" xfId="0" applyNumberFormat="1" applyBorder="1" applyAlignment="1">
      <alignment horizontal="center" vertical="center"/>
    </xf>
    <xf numFmtId="0" fontId="0" fillId="0" borderId="12" xfId="0" applyBorder="1" applyAlignment="1">
      <alignment/>
    </xf>
    <xf numFmtId="0" fontId="0" fillId="0" borderId="42" xfId="0" applyBorder="1" applyAlignment="1">
      <alignment/>
    </xf>
    <xf numFmtId="4" fontId="0" fillId="0" borderId="12" xfId="0" applyNumberFormat="1" applyFont="1" applyBorder="1" applyAlignment="1">
      <alignment horizontal="left" vertical="top"/>
    </xf>
    <xf numFmtId="0" fontId="6" fillId="0" borderId="12" xfId="0" applyFont="1" applyBorder="1" applyAlignment="1">
      <alignment horizontal="left" vertical="top"/>
    </xf>
    <xf numFmtId="0" fontId="46" fillId="0" borderId="12" xfId="0" applyFont="1" applyBorder="1" applyAlignment="1">
      <alignment horizontal="left"/>
    </xf>
    <xf numFmtId="201" fontId="10" fillId="0" borderId="12" xfId="0" applyNumberFormat="1" applyFont="1" applyFill="1" applyBorder="1" applyAlignment="1">
      <alignment horizontal="center" vertical="center"/>
    </xf>
    <xf numFmtId="201" fontId="5" fillId="0" borderId="0" xfId="0" applyNumberFormat="1" applyFont="1" applyAlignment="1">
      <alignment horizontal="center" vertical="center"/>
    </xf>
    <xf numFmtId="201" fontId="5" fillId="0" borderId="33" xfId="0" applyNumberFormat="1" applyFont="1" applyBorder="1" applyAlignment="1">
      <alignment horizontal="center" vertical="center"/>
    </xf>
    <xf numFmtId="201" fontId="5" fillId="0" borderId="34" xfId="0" applyNumberFormat="1" applyFont="1" applyBorder="1" applyAlignment="1">
      <alignment horizontal="center" vertical="center"/>
    </xf>
    <xf numFmtId="201" fontId="5" fillId="0" borderId="35" xfId="0" applyNumberFormat="1" applyFont="1" applyBorder="1" applyAlignment="1">
      <alignment horizontal="center" vertical="center"/>
    </xf>
    <xf numFmtId="201" fontId="5" fillId="0" borderId="36" xfId="0" applyNumberFormat="1" applyFont="1" applyBorder="1" applyAlignment="1">
      <alignment horizontal="center" vertical="center"/>
    </xf>
    <xf numFmtId="201"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201" fontId="5" fillId="0" borderId="0" xfId="0" applyNumberFormat="1" applyFont="1" applyFill="1" applyBorder="1" applyAlignment="1">
      <alignment horizontal="center"/>
    </xf>
    <xf numFmtId="201" fontId="6" fillId="0" borderId="37" xfId="0" applyNumberFormat="1" applyFont="1" applyBorder="1" applyAlignment="1">
      <alignment horizontal="left"/>
    </xf>
    <xf numFmtId="201" fontId="6" fillId="0" borderId="0" xfId="0" applyNumberFormat="1" applyFont="1" applyAlignment="1">
      <alignment horizontal="left"/>
    </xf>
    <xf numFmtId="0" fontId="7" fillId="0" borderId="0" xfId="0" applyFont="1" applyFill="1" applyBorder="1" applyAlignment="1">
      <alignment/>
    </xf>
    <xf numFmtId="0" fontId="7" fillId="0" borderId="37" xfId="0" applyFont="1" applyFill="1" applyBorder="1" applyAlignment="1">
      <alignment/>
    </xf>
    <xf numFmtId="0" fontId="7" fillId="0" borderId="0" xfId="0" applyFont="1" applyFill="1" applyBorder="1" applyAlignment="1">
      <alignment horizontal="left"/>
    </xf>
    <xf numFmtId="0" fontId="7" fillId="0" borderId="0" xfId="0" applyFont="1" applyFill="1" applyAlignment="1">
      <alignment horizontal="right"/>
    </xf>
    <xf numFmtId="0" fontId="7" fillId="0" borderId="0" xfId="0" applyFont="1" applyFill="1" applyAlignment="1">
      <alignment horizontal="left"/>
    </xf>
    <xf numFmtId="49" fontId="7" fillId="0" borderId="0" xfId="0" applyNumberFormat="1" applyFont="1" applyFill="1" applyBorder="1" applyAlignment="1">
      <alignment horizontal="center"/>
    </xf>
    <xf numFmtId="201" fontId="8" fillId="0" borderId="0" xfId="0" applyNumberFormat="1" applyFont="1" applyBorder="1" applyAlignment="1">
      <alignment horizontal="center" vertical="center"/>
    </xf>
    <xf numFmtId="201" fontId="6" fillId="0" borderId="0" xfId="0" applyNumberFormat="1" applyFont="1" applyAlignment="1">
      <alignment horizontal="center" vertical="center"/>
    </xf>
    <xf numFmtId="0" fontId="6" fillId="0" borderId="30" xfId="0" applyFont="1" applyBorder="1" applyAlignment="1">
      <alignment horizontal="center" vertical="center"/>
    </xf>
    <xf numFmtId="0" fontId="6" fillId="0" borderId="12" xfId="0" applyFont="1" applyBorder="1" applyAlignment="1">
      <alignment horizontal="center" vertical="center"/>
    </xf>
    <xf numFmtId="201" fontId="6" fillId="0" borderId="12" xfId="0" applyNumberFormat="1" applyFont="1" applyBorder="1" applyAlignment="1">
      <alignment horizontal="center" vertical="center" wrapText="1"/>
    </xf>
    <xf numFmtId="0" fontId="6" fillId="0" borderId="12" xfId="0" applyFont="1" applyBorder="1" applyAlignment="1">
      <alignment horizontal="center" wrapText="1"/>
    </xf>
    <xf numFmtId="0" fontId="7" fillId="0" borderId="12" xfId="0" applyFont="1" applyBorder="1" applyAlignment="1">
      <alignment horizontal="center" wrapText="1"/>
    </xf>
    <xf numFmtId="0" fontId="7" fillId="0" borderId="12" xfId="0" applyFont="1" applyBorder="1" applyAlignment="1">
      <alignment horizontal="left" wrapText="1"/>
    </xf>
    <xf numFmtId="49"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201" fontId="7" fillId="0" borderId="12" xfId="0" applyNumberFormat="1" applyFont="1" applyBorder="1" applyAlignment="1">
      <alignment horizontal="center" vertical="center"/>
    </xf>
    <xf numFmtId="0" fontId="7" fillId="0" borderId="12" xfId="0" applyFont="1" applyBorder="1" applyAlignment="1">
      <alignment horizontal="left" vertical="top"/>
    </xf>
    <xf numFmtId="0" fontId="7" fillId="0" borderId="12" xfId="0" applyFont="1" applyBorder="1" applyAlignment="1">
      <alignment horizontal="left" vertical="top" indent="1"/>
    </xf>
    <xf numFmtId="0" fontId="7" fillId="0" borderId="0" xfId="0" applyFont="1" applyAlignment="1">
      <alignment/>
    </xf>
    <xf numFmtId="0" fontId="6" fillId="0" borderId="12" xfId="0" applyFont="1" applyBorder="1" applyAlignment="1">
      <alignment horizontal="left" vertical="top" indent="1"/>
    </xf>
    <xf numFmtId="49" fontId="6" fillId="0" borderId="12" xfId="0" applyNumberFormat="1" applyFont="1" applyBorder="1" applyAlignment="1">
      <alignment horizontal="center" vertical="center"/>
    </xf>
    <xf numFmtId="201" fontId="6" fillId="0" borderId="14" xfId="0" applyNumberFormat="1" applyFont="1" applyBorder="1" applyAlignment="1">
      <alignment horizontal="center" vertical="center"/>
    </xf>
    <xf numFmtId="0" fontId="6" fillId="0" borderId="13" xfId="0" applyFont="1" applyBorder="1" applyAlignment="1">
      <alignment horizontal="center" vertical="center"/>
    </xf>
    <xf numFmtId="201" fontId="6" fillId="0" borderId="12" xfId="0" applyNumberFormat="1" applyFont="1" applyBorder="1" applyAlignment="1">
      <alignment horizontal="center" vertical="center"/>
    </xf>
    <xf numFmtId="0" fontId="6" fillId="0" borderId="20" xfId="0" applyFont="1" applyBorder="1" applyAlignment="1">
      <alignment horizontal="left" vertical="top"/>
    </xf>
    <xf numFmtId="0" fontId="6" fillId="0" borderId="43" xfId="0" applyFont="1" applyBorder="1" applyAlignment="1">
      <alignment horizontal="center" vertical="center"/>
    </xf>
    <xf numFmtId="201" fontId="6" fillId="0" borderId="30" xfId="0" applyNumberFormat="1" applyFont="1" applyBorder="1" applyAlignment="1">
      <alignment horizontal="center" vertical="center"/>
    </xf>
    <xf numFmtId="0" fontId="6" fillId="0" borderId="12" xfId="0" applyFont="1" applyBorder="1" applyAlignment="1">
      <alignment horizontal="left" indent="1"/>
    </xf>
    <xf numFmtId="0" fontId="6" fillId="0" borderId="12" xfId="0" applyFont="1" applyBorder="1" applyAlignment="1">
      <alignment horizontal="left" indent="2"/>
    </xf>
    <xf numFmtId="0" fontId="6" fillId="0" borderId="12" xfId="0" applyFont="1" applyBorder="1" applyAlignment="1">
      <alignment horizontal="justify" wrapText="1"/>
    </xf>
    <xf numFmtId="0" fontId="7" fillId="0" borderId="12" xfId="0" applyFont="1" applyBorder="1" applyAlignment="1">
      <alignment horizontal="center" vertical="top" wrapText="1"/>
    </xf>
    <xf numFmtId="0" fontId="6" fillId="0" borderId="12" xfId="0" applyFont="1" applyBorder="1" applyAlignment="1">
      <alignment horizontal="left" vertical="top" indent="6"/>
    </xf>
    <xf numFmtId="0" fontId="7" fillId="0" borderId="12" xfId="0" applyFont="1" applyBorder="1" applyAlignment="1">
      <alignment horizontal="left" indent="1"/>
    </xf>
    <xf numFmtId="0" fontId="7" fillId="0" borderId="12" xfId="0" applyFont="1" applyBorder="1" applyAlignment="1">
      <alignment horizontal="left"/>
    </xf>
    <xf numFmtId="0" fontId="7" fillId="0" borderId="12" xfId="0" applyFont="1" applyBorder="1" applyAlignment="1">
      <alignment horizontal="left" vertical="top" indent="6"/>
    </xf>
    <xf numFmtId="0" fontId="93" fillId="0" borderId="12" xfId="0" applyFont="1" applyBorder="1" applyAlignment="1">
      <alignment horizontal="center" vertical="center"/>
    </xf>
    <xf numFmtId="0" fontId="7" fillId="0" borderId="12" xfId="0" applyFont="1" applyBorder="1" applyAlignment="1">
      <alignment horizontal="left" vertical="top" wrapText="1"/>
    </xf>
    <xf numFmtId="0" fontId="7" fillId="0" borderId="12" xfId="0" applyFont="1" applyBorder="1" applyAlignment="1">
      <alignment horizontal="justify" wrapText="1"/>
    </xf>
    <xf numFmtId="0" fontId="6" fillId="0" borderId="12" xfId="0" applyFont="1" applyBorder="1" applyAlignment="1">
      <alignment horizontal="right" vertical="center"/>
    </xf>
    <xf numFmtId="201" fontId="6" fillId="0" borderId="37" xfId="0" applyNumberFormat="1" applyFont="1" applyBorder="1" applyAlignment="1">
      <alignment horizontal="center" vertical="center"/>
    </xf>
    <xf numFmtId="0" fontId="6" fillId="0" borderId="37" xfId="0" applyFont="1" applyBorder="1" applyAlignment="1">
      <alignment/>
    </xf>
    <xf numFmtId="201" fontId="94" fillId="0" borderId="12" xfId="0" applyNumberFormat="1" applyFont="1" applyBorder="1" applyAlignment="1">
      <alignment horizontal="center" vertical="center"/>
    </xf>
    <xf numFmtId="4" fontId="10" fillId="0" borderId="12" xfId="0" applyNumberFormat="1" applyFont="1" applyBorder="1" applyAlignment="1">
      <alignment horizontal="left" vertical="top" indent="1"/>
    </xf>
    <xf numFmtId="0" fontId="0" fillId="0" borderId="40" xfId="0" applyBorder="1" applyAlignment="1">
      <alignment/>
    </xf>
    <xf numFmtId="0" fontId="0" fillId="0" borderId="30" xfId="0" applyBorder="1" applyAlignment="1">
      <alignment/>
    </xf>
    <xf numFmtId="0" fontId="0" fillId="0" borderId="32" xfId="0" applyFont="1" applyBorder="1" applyAlignment="1">
      <alignment horizontal="left" vertical="top" indent="1"/>
    </xf>
    <xf numFmtId="0" fontId="0" fillId="0" borderId="32" xfId="0" applyFont="1" applyBorder="1" applyAlignment="1">
      <alignment horizontal="left" vertical="top"/>
    </xf>
    <xf numFmtId="201" fontId="0" fillId="0" borderId="20" xfId="0" applyNumberFormat="1" applyFont="1" applyBorder="1" applyAlignment="1">
      <alignment horizontal="center" vertical="center"/>
    </xf>
    <xf numFmtId="0" fontId="0" fillId="0" borderId="34" xfId="0" applyBorder="1" applyAlignment="1">
      <alignment/>
    </xf>
    <xf numFmtId="0" fontId="0" fillId="0" borderId="44" xfId="0" applyBorder="1" applyAlignment="1">
      <alignment/>
    </xf>
    <xf numFmtId="0" fontId="0" fillId="0" borderId="45" xfId="0" applyBorder="1" applyAlignment="1">
      <alignment/>
    </xf>
    <xf numFmtId="0" fontId="10" fillId="0" borderId="12" xfId="0" applyFont="1" applyBorder="1" applyAlignment="1">
      <alignment/>
    </xf>
    <xf numFmtId="201" fontId="10" fillId="0" borderId="20" xfId="0" applyNumberFormat="1" applyFont="1" applyBorder="1" applyAlignment="1">
      <alignment horizontal="center" vertical="center"/>
    </xf>
    <xf numFmtId="201" fontId="10" fillId="0" borderId="12" xfId="0" applyNumberFormat="1" applyFont="1" applyBorder="1" applyAlignment="1">
      <alignment horizontal="left" vertical="top" indent="1"/>
    </xf>
    <xf numFmtId="0" fontId="0" fillId="0" borderId="0" xfId="0" applyFont="1" applyAlignment="1">
      <alignment/>
    </xf>
    <xf numFmtId="201" fontId="0" fillId="0" borderId="0" xfId="0" applyNumberFormat="1" applyFont="1" applyFill="1" applyAlignment="1">
      <alignment horizontal="center" vertical="center"/>
    </xf>
    <xf numFmtId="201" fontId="0" fillId="0" borderId="12" xfId="0" applyNumberFormat="1" applyFont="1" applyFill="1" applyBorder="1" applyAlignment="1">
      <alignment horizontal="center" vertical="center" wrapText="1"/>
    </xf>
    <xf numFmtId="201" fontId="0" fillId="0" borderId="12" xfId="0" applyNumberFormat="1" applyFont="1" applyFill="1" applyBorder="1" applyAlignment="1">
      <alignment horizontal="center" vertical="center"/>
    </xf>
    <xf numFmtId="0" fontId="95" fillId="0" borderId="0" xfId="0" applyFont="1" applyAlignment="1">
      <alignment/>
    </xf>
    <xf numFmtId="0" fontId="7" fillId="0" borderId="0" xfId="0" applyFont="1" applyAlignment="1">
      <alignment horizontal="center" vertical="center"/>
    </xf>
    <xf numFmtId="0" fontId="5" fillId="0" borderId="37" xfId="0" applyFont="1" applyBorder="1" applyAlignment="1">
      <alignment vertical="top"/>
    </xf>
    <xf numFmtId="0" fontId="5" fillId="0" borderId="12" xfId="0" applyFont="1" applyFill="1" applyBorder="1" applyAlignment="1">
      <alignment horizontal="left" vertical="top" wrapText="1"/>
    </xf>
    <xf numFmtId="0" fontId="94" fillId="0" borderId="12" xfId="0" applyFont="1" applyBorder="1" applyAlignment="1">
      <alignment horizontal="left" vertical="top"/>
    </xf>
    <xf numFmtId="0" fontId="6" fillId="0" borderId="12" xfId="0" applyFont="1" applyFill="1" applyBorder="1" applyAlignment="1">
      <alignment horizontal="left" vertical="top" indent="1"/>
    </xf>
    <xf numFmtId="0" fontId="6" fillId="0" borderId="12" xfId="0" applyFont="1" applyFill="1" applyBorder="1" applyAlignment="1">
      <alignment horizontal="left" vertical="top" wrapText="1"/>
    </xf>
    <xf numFmtId="49"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201"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xf>
    <xf numFmtId="201" fontId="6" fillId="0" borderId="0" xfId="0" applyNumberFormat="1" applyFont="1" applyFill="1" applyAlignment="1">
      <alignment horizontal="center" vertical="center"/>
    </xf>
    <xf numFmtId="0" fontId="6" fillId="0" borderId="0" xfId="0" applyFont="1" applyFill="1" applyAlignment="1">
      <alignment/>
    </xf>
    <xf numFmtId="0" fontId="6" fillId="0" borderId="12" xfId="0" applyFont="1" applyFill="1" applyBorder="1" applyAlignment="1">
      <alignment horizontal="left" indent="1"/>
    </xf>
    <xf numFmtId="0" fontId="6" fillId="0" borderId="12" xfId="0" applyFont="1" applyFill="1" applyBorder="1" applyAlignment="1">
      <alignment horizontal="left"/>
    </xf>
    <xf numFmtId="0" fontId="6" fillId="0" borderId="12" xfId="0" applyFont="1" applyFill="1" applyBorder="1" applyAlignment="1">
      <alignment horizontal="left" wrapText="1"/>
    </xf>
    <xf numFmtId="201" fontId="0" fillId="0" borderId="14" xfId="0" applyNumberFormat="1" applyFont="1" applyBorder="1" applyAlignment="1">
      <alignment horizontal="center" vertical="center" wrapText="1"/>
    </xf>
    <xf numFmtId="0" fontId="7" fillId="0" borderId="12" xfId="0" applyFont="1" applyFill="1" applyBorder="1" applyAlignment="1">
      <alignment horizontal="left" vertical="top" indent="1"/>
    </xf>
    <xf numFmtId="0" fontId="7" fillId="0" borderId="12" xfId="0" applyFont="1" applyFill="1" applyBorder="1" applyAlignment="1">
      <alignment horizontal="left" wrapText="1"/>
    </xf>
    <xf numFmtId="49"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201" fontId="7" fillId="0" borderId="12" xfId="0" applyNumberFormat="1" applyFont="1" applyFill="1" applyBorder="1" applyAlignment="1">
      <alignment horizontal="center" vertical="center"/>
    </xf>
    <xf numFmtId="0" fontId="7" fillId="0" borderId="12" xfId="0" applyFont="1" applyFill="1" applyBorder="1" applyAlignment="1">
      <alignment horizontal="left" vertical="top" indent="6"/>
    </xf>
    <xf numFmtId="0" fontId="7" fillId="0" borderId="12" xfId="0" applyFont="1" applyFill="1" applyBorder="1" applyAlignment="1">
      <alignment horizontal="left" vertical="top"/>
    </xf>
    <xf numFmtId="0" fontId="7" fillId="0" borderId="0" xfId="0" applyFont="1" applyFill="1" applyAlignment="1">
      <alignment/>
    </xf>
    <xf numFmtId="0" fontId="7" fillId="0" borderId="0" xfId="0" applyFont="1" applyFill="1" applyAlignment="1">
      <alignment horizontal="center" vertical="center"/>
    </xf>
    <xf numFmtId="0" fontId="0" fillId="0" borderId="20" xfId="0" applyBorder="1" applyAlignment="1">
      <alignment horizontal="left" vertical="top"/>
    </xf>
    <xf numFmtId="0" fontId="0" fillId="0" borderId="14" xfId="0" applyBorder="1" applyAlignment="1">
      <alignment horizontal="left" vertical="top"/>
    </xf>
    <xf numFmtId="0" fontId="10" fillId="0" borderId="46" xfId="0" applyFont="1" applyBorder="1" applyAlignment="1">
      <alignment horizontal="center" vertical="center"/>
    </xf>
    <xf numFmtId="2" fontId="10" fillId="0" borderId="46" xfId="0" applyNumberFormat="1" applyFont="1" applyBorder="1" applyAlignment="1">
      <alignment horizontal="right" vertical="center"/>
    </xf>
    <xf numFmtId="0" fontId="0" fillId="0" borderId="16" xfId="0" applyBorder="1" applyAlignment="1">
      <alignment horizontal="left"/>
    </xf>
    <xf numFmtId="0" fontId="0" fillId="0" borderId="47" xfId="0" applyBorder="1" applyAlignment="1">
      <alignment horizontal="center" vertical="center"/>
    </xf>
    <xf numFmtId="0" fontId="0" fillId="0" borderId="35" xfId="0" applyBorder="1" applyAlignment="1">
      <alignment horizontal="right" vertical="top"/>
    </xf>
    <xf numFmtId="2" fontId="0" fillId="0" borderId="48" xfId="0" applyNumberFormat="1" applyBorder="1" applyAlignment="1">
      <alignment horizontal="right" vertical="center"/>
    </xf>
    <xf numFmtId="0" fontId="0" fillId="0" borderId="19" xfId="0" applyBorder="1" applyAlignment="1">
      <alignment horizontal="left" wrapText="1"/>
    </xf>
    <xf numFmtId="0" fontId="0" fillId="0" borderId="39" xfId="0" applyBorder="1" applyAlignment="1">
      <alignment horizontal="center" vertical="center"/>
    </xf>
    <xf numFmtId="0" fontId="0" fillId="0" borderId="36" xfId="0" applyBorder="1" applyAlignment="1">
      <alignment horizontal="right" vertical="top"/>
    </xf>
    <xf numFmtId="2" fontId="0" fillId="0" borderId="0" xfId="0" applyNumberFormat="1" applyAlignment="1">
      <alignment/>
    </xf>
    <xf numFmtId="0" fontId="0" fillId="0" borderId="19" xfId="0" applyBorder="1" applyAlignment="1">
      <alignment horizontal="left"/>
    </xf>
    <xf numFmtId="0" fontId="5" fillId="0" borderId="19" xfId="0" applyFont="1" applyBorder="1" applyAlignment="1">
      <alignment horizontal="left" vertical="top" wrapText="1"/>
    </xf>
    <xf numFmtId="0" fontId="5" fillId="0" borderId="19" xfId="0" applyFont="1" applyBorder="1" applyAlignment="1">
      <alignment horizontal="left" wrapText="1"/>
    </xf>
    <xf numFmtId="0" fontId="5" fillId="0" borderId="19" xfId="0" applyFont="1" applyBorder="1" applyAlignment="1">
      <alignment horizontal="left"/>
    </xf>
    <xf numFmtId="2" fontId="0" fillId="0" borderId="36" xfId="0" applyNumberFormat="1" applyBorder="1" applyAlignment="1">
      <alignment horizontal="right" vertical="top"/>
    </xf>
    <xf numFmtId="0" fontId="0" fillId="0" borderId="45" xfId="0" applyBorder="1" applyAlignment="1">
      <alignment horizontal="left"/>
    </xf>
    <xf numFmtId="0" fontId="0" fillId="0" borderId="49" xfId="0" applyBorder="1" applyAlignment="1">
      <alignment horizontal="center" vertical="center"/>
    </xf>
    <xf numFmtId="0" fontId="0" fillId="0" borderId="50" xfId="0" applyBorder="1" applyAlignment="1">
      <alignment horizontal="right" vertical="top"/>
    </xf>
    <xf numFmtId="2" fontId="0" fillId="0" borderId="36" xfId="0" applyNumberFormat="1" applyBorder="1" applyAlignment="1">
      <alignment horizontal="right" vertical="center"/>
    </xf>
    <xf numFmtId="187" fontId="0" fillId="0" borderId="0" xfId="0" applyNumberFormat="1" applyAlignment="1">
      <alignment/>
    </xf>
    <xf numFmtId="2" fontId="0" fillId="0" borderId="50" xfId="0" applyNumberFormat="1" applyBorder="1" applyAlignment="1">
      <alignment horizontal="right" vertical="top"/>
    </xf>
    <xf numFmtId="0" fontId="10" fillId="0" borderId="30" xfId="0" applyFont="1" applyBorder="1" applyAlignment="1">
      <alignment horizontal="left"/>
    </xf>
    <xf numFmtId="0" fontId="0" fillId="0" borderId="51" xfId="0" applyBorder="1" applyAlignment="1">
      <alignment horizontal="left" vertical="top"/>
    </xf>
    <xf numFmtId="0" fontId="0" fillId="0" borderId="14" xfId="0" applyBorder="1" applyAlignment="1">
      <alignment horizontal="left"/>
    </xf>
    <xf numFmtId="0" fontId="0" fillId="0" borderId="52" xfId="0" applyBorder="1" applyAlignment="1">
      <alignment horizontal="left" vertical="top"/>
    </xf>
    <xf numFmtId="0" fontId="0" fillId="0" borderId="35" xfId="0" applyBorder="1" applyAlignment="1">
      <alignment horizontal="right" vertical="center"/>
    </xf>
    <xf numFmtId="2" fontId="0" fillId="0" borderId="53" xfId="0" applyNumberFormat="1" applyBorder="1" applyAlignment="1">
      <alignment horizontal="right" vertical="center"/>
    </xf>
    <xf numFmtId="0" fontId="0" fillId="0" borderId="36" xfId="0" applyBorder="1" applyAlignment="1">
      <alignment horizontal="right" vertical="center"/>
    </xf>
    <xf numFmtId="187" fontId="0" fillId="0" borderId="36" xfId="0" applyNumberFormat="1" applyBorder="1" applyAlignment="1">
      <alignment horizontal="right" vertical="center"/>
    </xf>
    <xf numFmtId="194" fontId="0" fillId="0" borderId="36" xfId="0" applyNumberFormat="1" applyBorder="1" applyAlignment="1">
      <alignment horizontal="right" vertical="center"/>
    </xf>
    <xf numFmtId="0" fontId="0" fillId="0" borderId="17" xfId="0" applyBorder="1" applyAlignment="1">
      <alignment horizontal="left"/>
    </xf>
    <xf numFmtId="187" fontId="0" fillId="0" borderId="54" xfId="0" applyNumberFormat="1" applyBorder="1" applyAlignment="1">
      <alignment horizontal="center" vertical="center"/>
    </xf>
    <xf numFmtId="2" fontId="0" fillId="0" borderId="33" xfId="0" applyNumberFormat="1" applyBorder="1" applyAlignment="1">
      <alignment horizontal="right" vertical="center"/>
    </xf>
    <xf numFmtId="3" fontId="0" fillId="0" borderId="33" xfId="0" applyNumberFormat="1" applyBorder="1" applyAlignment="1">
      <alignment horizontal="right" vertical="center"/>
    </xf>
    <xf numFmtId="0" fontId="0" fillId="0" borderId="33" xfId="0" applyBorder="1" applyAlignment="1">
      <alignment horizontal="right" vertical="center"/>
    </xf>
    <xf numFmtId="49" fontId="6" fillId="0" borderId="36" xfId="0" applyNumberFormat="1" applyFont="1" applyFill="1" applyBorder="1" applyAlignment="1">
      <alignment horizontal="center"/>
    </xf>
    <xf numFmtId="4" fontId="6" fillId="0" borderId="0" xfId="0" applyNumberFormat="1" applyFont="1" applyFill="1" applyAlignment="1">
      <alignment horizontal="left"/>
    </xf>
    <xf numFmtId="4" fontId="6" fillId="0" borderId="36" xfId="0" applyNumberFormat="1" applyFont="1" applyFill="1" applyBorder="1" applyAlignment="1">
      <alignment horizontal="right"/>
    </xf>
    <xf numFmtId="4" fontId="6" fillId="0" borderId="36" xfId="0" applyNumberFormat="1" applyFont="1" applyFill="1" applyBorder="1" applyAlignment="1">
      <alignment horizontal="center" vertical="center"/>
    </xf>
    <xf numFmtId="4" fontId="96" fillId="0" borderId="36" xfId="45" applyNumberFormat="1" applyFont="1" applyFill="1" applyBorder="1" applyAlignment="1">
      <alignment horizontal="center" vertical="center"/>
    </xf>
    <xf numFmtId="4" fontId="6" fillId="0" borderId="0" xfId="0" applyNumberFormat="1" applyFont="1" applyAlignment="1">
      <alignment horizontal="center" vertical="center"/>
    </xf>
    <xf numFmtId="0" fontId="5" fillId="0" borderId="36" xfId="0" applyFont="1" applyFill="1" applyBorder="1" applyAlignment="1">
      <alignment horizontal="center"/>
    </xf>
    <xf numFmtId="0" fontId="5" fillId="0" borderId="36" xfId="0" applyFont="1" applyFill="1" applyBorder="1" applyAlignment="1">
      <alignment horizontal="left" vertical="center"/>
    </xf>
    <xf numFmtId="49"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right"/>
    </xf>
    <xf numFmtId="0"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xf>
    <xf numFmtId="0" fontId="12" fillId="0" borderId="36" xfId="0" applyFont="1" applyFill="1" applyBorder="1" applyAlignment="1">
      <alignment horizontal="left" vertical="center"/>
    </xf>
    <xf numFmtId="49" fontId="7" fillId="0" borderId="36" xfId="0" applyNumberFormat="1" applyFont="1" applyFill="1" applyBorder="1" applyAlignment="1">
      <alignment horizontal="center" vertical="center"/>
    </xf>
    <xf numFmtId="49" fontId="7" fillId="0" borderId="36" xfId="0" applyNumberFormat="1" applyFont="1" applyFill="1" applyBorder="1" applyAlignment="1">
      <alignment horizontal="center"/>
    </xf>
    <xf numFmtId="0" fontId="7" fillId="0" borderId="36" xfId="0" applyNumberFormat="1"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33" xfId="0" applyFont="1" applyFill="1" applyBorder="1" applyAlignment="1">
      <alignment horizontal="left" vertical="center"/>
    </xf>
    <xf numFmtId="49" fontId="6" fillId="0" borderId="36" xfId="0" applyNumberFormat="1" applyFont="1" applyFill="1" applyBorder="1" applyAlignment="1">
      <alignment/>
    </xf>
    <xf numFmtId="0" fontId="5" fillId="0" borderId="36" xfId="45" applyNumberFormat="1" applyFont="1" applyFill="1" applyBorder="1" applyAlignment="1">
      <alignment horizontal="left" vertical="center"/>
    </xf>
    <xf numFmtId="0" fontId="6" fillId="0" borderId="36" xfId="45" applyNumberFormat="1" applyFont="1" applyFill="1" applyBorder="1" applyAlignment="1">
      <alignment horizontal="center" vertical="center"/>
    </xf>
    <xf numFmtId="178" fontId="6" fillId="0" borderId="36" xfId="45" applyFont="1" applyFill="1" applyBorder="1" applyAlignment="1">
      <alignment horizontal="center"/>
    </xf>
    <xf numFmtId="4" fontId="6" fillId="0" borderId="36" xfId="45" applyNumberFormat="1" applyFont="1" applyFill="1" applyBorder="1" applyAlignment="1">
      <alignment horizontal="right"/>
    </xf>
    <xf numFmtId="178" fontId="6" fillId="0" borderId="36" xfId="45" applyFont="1" applyFill="1" applyBorder="1" applyAlignment="1">
      <alignment horizontal="center" vertical="center"/>
    </xf>
    <xf numFmtId="0" fontId="5" fillId="0" borderId="36" xfId="45" applyNumberFormat="1" applyFont="1" applyFill="1" applyBorder="1" applyAlignment="1">
      <alignment horizontal="left" vertical="center" wrapText="1"/>
    </xf>
    <xf numFmtId="0" fontId="5" fillId="0" borderId="36" xfId="0" applyFont="1" applyFill="1" applyBorder="1" applyAlignment="1">
      <alignment horizontal="left" vertical="center" wrapText="1"/>
    </xf>
    <xf numFmtId="49" fontId="6" fillId="0" borderId="33" xfId="0" applyNumberFormat="1" applyFont="1" applyFill="1" applyBorder="1" applyAlignment="1">
      <alignment horizontal="center"/>
    </xf>
    <xf numFmtId="4" fontId="6" fillId="0" borderId="33" xfId="0" applyNumberFormat="1" applyFont="1" applyFill="1" applyBorder="1" applyAlignment="1">
      <alignment horizontal="center" vertical="center"/>
    </xf>
    <xf numFmtId="4" fontId="6" fillId="0" borderId="33" xfId="0" applyNumberFormat="1" applyFont="1" applyFill="1" applyBorder="1" applyAlignment="1">
      <alignment horizontal="right"/>
    </xf>
    <xf numFmtId="2" fontId="6" fillId="0" borderId="36" xfId="0" applyNumberFormat="1" applyFont="1" applyFill="1" applyBorder="1" applyAlignment="1">
      <alignment horizontal="center"/>
    </xf>
    <xf numFmtId="2" fontId="6" fillId="0" borderId="36" xfId="0" applyNumberFormat="1" applyFont="1" applyFill="1" applyBorder="1" applyAlignment="1">
      <alignment horizontal="right"/>
    </xf>
    <xf numFmtId="49" fontId="6" fillId="0" borderId="36" xfId="0" applyNumberFormat="1" applyFont="1" applyFill="1" applyBorder="1" applyAlignment="1">
      <alignment horizontal="center" wrapText="1"/>
    </xf>
    <xf numFmtId="4" fontId="6" fillId="0" borderId="0" xfId="0" applyNumberFormat="1" applyFont="1" applyFill="1" applyAlignment="1">
      <alignment horizontal="center" vertical="center"/>
    </xf>
    <xf numFmtId="201" fontId="97" fillId="0" borderId="12" xfId="0" applyNumberFormat="1" applyFont="1" applyFill="1" applyBorder="1" applyAlignment="1">
      <alignment horizontal="center" vertical="center"/>
    </xf>
    <xf numFmtId="0" fontId="0" fillId="0" borderId="12" xfId="0" applyFill="1" applyBorder="1" applyAlignment="1">
      <alignment horizontal="left" vertical="center" indent="1"/>
    </xf>
    <xf numFmtId="0" fontId="0" fillId="0" borderId="12" xfId="0" applyFill="1" applyBorder="1" applyAlignment="1">
      <alignment horizontal="center" vertical="center"/>
    </xf>
    <xf numFmtId="0" fontId="0" fillId="0" borderId="12" xfId="0" applyFill="1" applyBorder="1" applyAlignment="1">
      <alignment horizontal="left" vertical="top"/>
    </xf>
    <xf numFmtId="0" fontId="0" fillId="0" borderId="0" xfId="0" applyFill="1" applyAlignment="1">
      <alignment/>
    </xf>
    <xf numFmtId="0" fontId="6" fillId="0" borderId="36" xfId="0" applyFont="1" applyFill="1" applyBorder="1" applyAlignment="1">
      <alignment horizontal="left"/>
    </xf>
    <xf numFmtId="201" fontId="0" fillId="0" borderId="12" xfId="0" applyNumberFormat="1" applyFill="1" applyBorder="1" applyAlignment="1">
      <alignment horizontal="center" vertical="center"/>
    </xf>
    <xf numFmtId="201" fontId="0" fillId="0" borderId="0" xfId="0" applyNumberFormat="1" applyFont="1" applyFill="1" applyBorder="1" applyAlignment="1">
      <alignment horizontal="center" vertical="center"/>
    </xf>
    <xf numFmtId="0" fontId="5" fillId="0" borderId="12" xfId="0" applyFont="1" applyFill="1" applyBorder="1" applyAlignment="1">
      <alignment horizontal="left" vertical="top"/>
    </xf>
    <xf numFmtId="0" fontId="5" fillId="0" borderId="12" xfId="0" applyFont="1" applyFill="1" applyBorder="1" applyAlignment="1">
      <alignment horizontal="center" vertical="top"/>
    </xf>
    <xf numFmtId="10" fontId="5" fillId="0" borderId="12" xfId="0" applyNumberFormat="1" applyFont="1" applyFill="1" applyBorder="1" applyAlignment="1">
      <alignment horizontal="left" vertical="top"/>
    </xf>
    <xf numFmtId="0" fontId="5" fillId="0" borderId="12" xfId="0" applyFont="1" applyFill="1" applyBorder="1" applyAlignment="1">
      <alignment horizontal="center" vertical="top" wrapText="1"/>
    </xf>
    <xf numFmtId="0" fontId="5" fillId="0" borderId="0" xfId="0" applyFont="1" applyFill="1" applyAlignment="1">
      <alignment vertical="top"/>
    </xf>
    <xf numFmtId="0" fontId="5" fillId="0" borderId="12" xfId="0" applyFont="1" applyFill="1" applyBorder="1" applyAlignment="1">
      <alignment horizontal="center" vertical="center"/>
    </xf>
    <xf numFmtId="0" fontId="12" fillId="0" borderId="0" xfId="0" applyFont="1" applyFill="1" applyBorder="1" applyAlignment="1">
      <alignment horizontal="center" vertical="top"/>
    </xf>
    <xf numFmtId="0" fontId="12" fillId="0" borderId="0" xfId="0" applyFont="1" applyFill="1" applyBorder="1" applyAlignment="1">
      <alignment horizontal="center" vertical="center"/>
    </xf>
    <xf numFmtId="0" fontId="12" fillId="0" borderId="0" xfId="0" applyFont="1" applyFill="1" applyAlignment="1">
      <alignment horizontal="center" vertical="top"/>
    </xf>
    <xf numFmtId="0" fontId="12" fillId="0" borderId="0" xfId="0" applyFont="1" applyFill="1" applyAlignment="1">
      <alignment horizontal="center" vertical="center"/>
    </xf>
    <xf numFmtId="0" fontId="5" fillId="0" borderId="12" xfId="0" applyFont="1" applyFill="1" applyBorder="1" applyAlignment="1">
      <alignment horizontal="center" vertical="center" wrapText="1"/>
    </xf>
    <xf numFmtId="0" fontId="12" fillId="0" borderId="12" xfId="0" applyFont="1" applyFill="1" applyBorder="1" applyAlignment="1">
      <alignment horizontal="left" vertical="top"/>
    </xf>
    <xf numFmtId="0" fontId="12" fillId="0" borderId="12" xfId="0" applyFont="1" applyFill="1" applyBorder="1" applyAlignment="1">
      <alignment horizontal="left" vertical="top" wrapText="1"/>
    </xf>
    <xf numFmtId="2" fontId="5" fillId="0" borderId="12" xfId="0" applyNumberFormat="1" applyFont="1" applyFill="1" applyBorder="1" applyAlignment="1">
      <alignment horizontal="center" vertical="center"/>
    </xf>
    <xf numFmtId="2" fontId="5" fillId="0" borderId="12" xfId="0" applyNumberFormat="1" applyFont="1" applyFill="1" applyBorder="1" applyAlignment="1">
      <alignment horizontal="left" vertical="top"/>
    </xf>
    <xf numFmtId="2" fontId="5" fillId="0" borderId="0" xfId="0" applyNumberFormat="1" applyFont="1" applyFill="1" applyAlignment="1">
      <alignment vertical="top"/>
    </xf>
    <xf numFmtId="0" fontId="5" fillId="0" borderId="0" xfId="0" applyFont="1" applyFill="1" applyAlignment="1">
      <alignment vertical="top" wrapText="1"/>
    </xf>
    <xf numFmtId="2" fontId="5" fillId="0" borderId="0" xfId="0" applyNumberFormat="1" applyFont="1" applyFill="1" applyAlignment="1">
      <alignment horizontal="center" vertical="center"/>
    </xf>
    <xf numFmtId="10" fontId="5" fillId="0" borderId="12" xfId="0" applyNumberFormat="1" applyFont="1" applyFill="1" applyBorder="1" applyAlignment="1">
      <alignment horizontal="center" vertical="top" wrapText="1"/>
    </xf>
    <xf numFmtId="0" fontId="5" fillId="0" borderId="12" xfId="0" applyFont="1" applyFill="1" applyBorder="1" applyAlignment="1">
      <alignment horizontal="justify" vertical="top"/>
    </xf>
    <xf numFmtId="0" fontId="5" fillId="0" borderId="0" xfId="0" applyFont="1" applyFill="1" applyBorder="1" applyAlignment="1">
      <alignment horizontal="center" vertical="top"/>
    </xf>
    <xf numFmtId="201" fontId="6" fillId="0" borderId="36" xfId="0" applyNumberFormat="1" applyFont="1" applyFill="1" applyBorder="1" applyAlignment="1">
      <alignment horizontal="center" vertical="center"/>
    </xf>
    <xf numFmtId="4" fontId="96" fillId="0" borderId="36" xfId="0" applyNumberFormat="1" applyFont="1" applyFill="1" applyBorder="1" applyAlignment="1">
      <alignment horizontal="center" vertical="center"/>
    </xf>
    <xf numFmtId="49" fontId="6" fillId="0" borderId="12" xfId="0" applyNumberFormat="1" applyFont="1" applyFill="1" applyBorder="1" applyAlignment="1">
      <alignment horizontal="left" vertical="top" indent="1"/>
    </xf>
    <xf numFmtId="49" fontId="0" fillId="0" borderId="12" xfId="0" applyNumberFormat="1" applyFill="1" applyBorder="1" applyAlignment="1">
      <alignment horizontal="left" vertical="top" indent="1"/>
    </xf>
    <xf numFmtId="0" fontId="0" fillId="0" borderId="0" xfId="0" applyFill="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36" xfId="0" applyNumberFormat="1" applyFont="1" applyFill="1" applyBorder="1" applyAlignment="1">
      <alignment vertical="center"/>
    </xf>
    <xf numFmtId="0" fontId="6" fillId="0" borderId="33"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pplyFill="1" applyAlignment="1">
      <alignment horizontal="left"/>
    </xf>
    <xf numFmtId="0" fontId="35" fillId="0" borderId="0" xfId="0" applyFont="1" applyFill="1" applyBorder="1" applyAlignment="1">
      <alignment vertical="top"/>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left" vertical="top" indent="3"/>
    </xf>
    <xf numFmtId="0" fontId="0" fillId="0" borderId="12" xfId="0" applyFill="1" applyBorder="1" applyAlignment="1">
      <alignment horizontal="left" vertical="top" indent="1"/>
    </xf>
    <xf numFmtId="0" fontId="6" fillId="0" borderId="12" xfId="0" applyFont="1" applyFill="1" applyBorder="1" applyAlignment="1">
      <alignment horizontal="left" vertical="center" indent="1"/>
    </xf>
    <xf numFmtId="0" fontId="10" fillId="0" borderId="12" xfId="0" applyFont="1" applyFill="1" applyBorder="1" applyAlignment="1">
      <alignment horizontal="left" vertical="top"/>
    </xf>
    <xf numFmtId="0" fontId="10" fillId="0" borderId="12" xfId="0" applyFont="1" applyFill="1" applyBorder="1" applyAlignment="1">
      <alignment horizontal="left" vertical="center" indent="1"/>
    </xf>
    <xf numFmtId="0" fontId="10" fillId="0" borderId="12" xfId="0" applyFont="1" applyFill="1" applyBorder="1" applyAlignment="1">
      <alignment horizontal="center" vertical="center"/>
    </xf>
    <xf numFmtId="0" fontId="10" fillId="0" borderId="0" xfId="0" applyFont="1" applyFill="1" applyAlignment="1">
      <alignment/>
    </xf>
    <xf numFmtId="0" fontId="0" fillId="0" borderId="12" xfId="0" applyFill="1" applyBorder="1" applyAlignment="1">
      <alignment horizontal="center"/>
    </xf>
    <xf numFmtId="201" fontId="0" fillId="0" borderId="37" xfId="0" applyNumberFormat="1" applyFill="1" applyBorder="1" applyAlignment="1">
      <alignment horizontal="center" vertical="center"/>
    </xf>
    <xf numFmtId="201" fontId="0" fillId="0" borderId="37" xfId="0" applyNumberFormat="1" applyFont="1" applyFill="1" applyBorder="1" applyAlignment="1">
      <alignment horizontal="center" vertical="center"/>
    </xf>
    <xf numFmtId="0" fontId="0" fillId="0" borderId="0" xfId="0" applyFill="1" applyBorder="1" applyAlignment="1">
      <alignment/>
    </xf>
    <xf numFmtId="0" fontId="35" fillId="0" borderId="0" xfId="0" applyFont="1" applyFill="1" applyBorder="1" applyAlignment="1">
      <alignment horizontal="center" vertical="center"/>
    </xf>
    <xf numFmtId="0" fontId="35" fillId="0" borderId="0" xfId="0" applyFont="1" applyFill="1" applyBorder="1" applyAlignment="1">
      <alignment vertical="top"/>
    </xf>
    <xf numFmtId="201" fontId="92" fillId="0" borderId="12" xfId="0" applyNumberFormat="1" applyFont="1" applyFill="1" applyBorder="1" applyAlignment="1">
      <alignment horizontal="center" vertical="center"/>
    </xf>
    <xf numFmtId="0" fontId="6" fillId="0" borderId="12" xfId="0" applyFont="1" applyBorder="1" applyAlignment="1">
      <alignment horizontal="justify" vertical="top" wrapText="1"/>
    </xf>
    <xf numFmtId="4" fontId="6" fillId="0" borderId="0" xfId="0" applyNumberFormat="1" applyFont="1" applyAlignment="1">
      <alignment horizontal="left"/>
    </xf>
    <xf numFmtId="0" fontId="6" fillId="0" borderId="12" xfId="0" applyFont="1" applyFill="1" applyBorder="1" applyAlignment="1">
      <alignment horizontal="center" vertical="center" wrapText="1"/>
    </xf>
    <xf numFmtId="4" fontId="96" fillId="0" borderId="36" xfId="0" applyNumberFormat="1" applyFont="1" applyFill="1" applyBorder="1" applyAlignment="1">
      <alignment horizontal="center" vertical="center"/>
    </xf>
    <xf numFmtId="4" fontId="10" fillId="0" borderId="12" xfId="0" applyNumberFormat="1" applyFont="1" applyFill="1" applyBorder="1" applyAlignment="1">
      <alignment horizontal="left" vertical="top"/>
    </xf>
    <xf numFmtId="201" fontId="0" fillId="0" borderId="12" xfId="0" applyNumberFormat="1" applyFont="1" applyBorder="1" applyAlignment="1">
      <alignment horizontal="left" vertical="top"/>
    </xf>
    <xf numFmtId="4" fontId="10" fillId="0" borderId="12" xfId="0" applyNumberFormat="1" applyFont="1" applyBorder="1" applyAlignment="1">
      <alignment horizontal="left" vertical="top"/>
    </xf>
    <xf numFmtId="201" fontId="8"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201" fontId="6" fillId="0" borderId="12" xfId="0" applyNumberFormat="1" applyFont="1" applyFill="1" applyBorder="1" applyAlignment="1">
      <alignment horizontal="center" vertical="center" wrapText="1"/>
    </xf>
    <xf numFmtId="201" fontId="6" fillId="0" borderId="14" xfId="0" applyNumberFormat="1" applyFont="1" applyFill="1" applyBorder="1" applyAlignment="1">
      <alignment horizontal="center" vertical="center"/>
    </xf>
    <xf numFmtId="201" fontId="6" fillId="0" borderId="30" xfId="0" applyNumberFormat="1" applyFont="1" applyFill="1" applyBorder="1" applyAlignment="1">
      <alignment horizontal="center" vertical="center"/>
    </xf>
    <xf numFmtId="201" fontId="94" fillId="0" borderId="12" xfId="0" applyNumberFormat="1" applyFont="1" applyFill="1" applyBorder="1" applyAlignment="1">
      <alignment horizontal="center" vertical="center"/>
    </xf>
    <xf numFmtId="201" fontId="6" fillId="0" borderId="37" xfId="0" applyNumberFormat="1" applyFont="1" applyFill="1" applyBorder="1" applyAlignment="1">
      <alignment horizontal="center" vertical="center"/>
    </xf>
    <xf numFmtId="4" fontId="10" fillId="0" borderId="0" xfId="0" applyNumberFormat="1" applyFont="1" applyFill="1" applyAlignment="1">
      <alignment/>
    </xf>
    <xf numFmtId="201" fontId="92" fillId="0" borderId="0" xfId="0" applyNumberFormat="1" applyFont="1" applyFill="1" applyAlignment="1">
      <alignment horizontal="center" vertical="center"/>
    </xf>
    <xf numFmtId="0" fontId="94" fillId="0" borderId="0" xfId="0" applyFont="1" applyFill="1" applyAlignment="1">
      <alignment horizontal="center" vertical="center"/>
    </xf>
    <xf numFmtId="201" fontId="92" fillId="0" borderId="12" xfId="0" applyNumberFormat="1" applyFont="1" applyFill="1" applyBorder="1" applyAlignment="1">
      <alignment horizontal="center" vertical="center" wrapText="1"/>
    </xf>
    <xf numFmtId="201" fontId="96" fillId="0" borderId="12" xfId="0" applyNumberFormat="1" applyFont="1" applyFill="1" applyBorder="1" applyAlignment="1">
      <alignment horizontal="center" vertical="center"/>
    </xf>
    <xf numFmtId="201" fontId="98" fillId="0" borderId="12" xfId="0" applyNumberFormat="1" applyFont="1" applyFill="1" applyBorder="1" applyAlignment="1">
      <alignment horizontal="center" vertical="center"/>
    </xf>
    <xf numFmtId="201" fontId="92" fillId="0" borderId="0" xfId="0" applyNumberFormat="1" applyFont="1" applyFill="1" applyBorder="1" applyAlignment="1">
      <alignment horizontal="center" vertical="center"/>
    </xf>
    <xf numFmtId="4" fontId="0" fillId="0" borderId="0" xfId="0" applyNumberFormat="1" applyFill="1" applyAlignment="1">
      <alignment/>
    </xf>
    <xf numFmtId="0" fontId="32" fillId="0" borderId="0" xfId="0" applyFont="1" applyFill="1" applyAlignment="1">
      <alignment vertical="top"/>
    </xf>
    <xf numFmtId="0" fontId="32" fillId="0" borderId="0" xfId="0" applyFont="1" applyFill="1" applyBorder="1" applyAlignment="1">
      <alignment vertical="top"/>
    </xf>
    <xf numFmtId="0" fontId="32" fillId="0" borderId="12" xfId="0" applyFont="1" applyFill="1" applyBorder="1" applyAlignment="1">
      <alignment horizontal="center" vertical="top" wrapText="1"/>
    </xf>
    <xf numFmtId="0" fontId="32" fillId="0" borderId="12" xfId="0" applyFont="1" applyFill="1" applyBorder="1" applyAlignment="1">
      <alignment horizontal="center" vertical="top"/>
    </xf>
    <xf numFmtId="0" fontId="32" fillId="0" borderId="12" xfId="0" applyFont="1" applyFill="1" applyBorder="1" applyAlignment="1">
      <alignment horizontal="left" vertical="top" wrapText="1"/>
    </xf>
    <xf numFmtId="0" fontId="32" fillId="0" borderId="12" xfId="0" applyFont="1" applyFill="1" applyBorder="1" applyAlignment="1">
      <alignment horizontal="left" vertical="top"/>
    </xf>
    <xf numFmtId="0" fontId="5" fillId="0" borderId="12" xfId="0" applyFont="1" applyFill="1" applyBorder="1" applyAlignment="1">
      <alignment horizontal="justify" vertical="top" wrapText="1"/>
    </xf>
    <xf numFmtId="0" fontId="50" fillId="0" borderId="12" xfId="0" applyFont="1" applyFill="1" applyBorder="1" applyAlignment="1">
      <alignment horizontal="left" vertical="top"/>
    </xf>
    <xf numFmtId="0" fontId="50" fillId="0" borderId="12" xfId="0" applyFont="1" applyFill="1" applyBorder="1" applyAlignment="1">
      <alignment horizontal="left" vertical="top" wrapText="1"/>
    </xf>
    <xf numFmtId="0" fontId="5" fillId="0" borderId="14"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7" fillId="0" borderId="36" xfId="0" applyNumberFormat="1" applyFont="1" applyFill="1" applyBorder="1" applyAlignment="1">
      <alignment horizontal="center" vertical="center"/>
    </xf>
    <xf numFmtId="14" fontId="0" fillId="0" borderId="0" xfId="0" applyNumberFormat="1" applyFill="1" applyAlignment="1">
      <alignment/>
    </xf>
    <xf numFmtId="4" fontId="94" fillId="0" borderId="36" xfId="0" applyNumberFormat="1" applyFont="1" applyFill="1" applyBorder="1" applyAlignment="1">
      <alignment horizontal="center" vertical="center"/>
    </xf>
    <xf numFmtId="4" fontId="7" fillId="0" borderId="0" xfId="0" applyNumberFormat="1" applyFont="1" applyFill="1" applyAlignment="1">
      <alignment horizontal="center" vertical="center"/>
    </xf>
    <xf numFmtId="4" fontId="94" fillId="0" borderId="36" xfId="45" applyNumberFormat="1" applyFont="1" applyFill="1" applyBorder="1" applyAlignment="1">
      <alignment horizontal="center" vertical="center"/>
    </xf>
    <xf numFmtId="0" fontId="35" fillId="0" borderId="0" xfId="0" applyFont="1" applyFill="1" applyAlignment="1">
      <alignment vertical="top"/>
    </xf>
    <xf numFmtId="0" fontId="35" fillId="0" borderId="0" xfId="0" applyFont="1" applyFill="1" applyAlignment="1">
      <alignment horizontal="center" vertical="center"/>
    </xf>
    <xf numFmtId="0" fontId="35" fillId="0" borderId="0" xfId="0" applyFont="1" applyFill="1" applyAlignment="1">
      <alignment/>
    </xf>
    <xf numFmtId="0" fontId="35" fillId="0" borderId="0" xfId="0" applyFont="1" applyFill="1" applyAlignment="1">
      <alignment horizontal="left" vertical="top"/>
    </xf>
    <xf numFmtId="0" fontId="26" fillId="0" borderId="37" xfId="0" applyFont="1" applyFill="1" applyBorder="1" applyAlignment="1">
      <alignment horizontal="center" vertical="center"/>
    </xf>
    <xf numFmtId="0" fontId="35" fillId="0" borderId="37" xfId="0" applyFont="1" applyFill="1" applyBorder="1" applyAlignment="1">
      <alignment horizontal="left" vertical="top"/>
    </xf>
    <xf numFmtId="0" fontId="26" fillId="0" borderId="0" xfId="0" applyFont="1" applyFill="1" applyAlignment="1">
      <alignment horizontal="center" vertical="center"/>
    </xf>
    <xf numFmtId="0" fontId="26" fillId="0" borderId="37" xfId="0" applyFont="1" applyFill="1" applyBorder="1" applyAlignment="1">
      <alignment horizontal="left" vertical="top"/>
    </xf>
    <xf numFmtId="0" fontId="26" fillId="0" borderId="0" xfId="0" applyFont="1" applyFill="1" applyAlignment="1">
      <alignment vertical="top"/>
    </xf>
    <xf numFmtId="0" fontId="26" fillId="0" borderId="0" xfId="0" applyFont="1" applyFill="1" applyAlignment="1">
      <alignment vertical="center"/>
    </xf>
    <xf numFmtId="0" fontId="35" fillId="0" borderId="36" xfId="0" applyFont="1" applyFill="1" applyBorder="1" applyAlignment="1">
      <alignment vertical="top"/>
    </xf>
    <xf numFmtId="0" fontId="35" fillId="0" borderId="36" xfId="0" applyFont="1" applyFill="1" applyBorder="1" applyAlignment="1">
      <alignment horizontal="center" vertical="center"/>
    </xf>
    <xf numFmtId="0" fontId="35" fillId="0" borderId="36" xfId="0" applyFont="1" applyFill="1" applyBorder="1" applyAlignment="1">
      <alignment/>
    </xf>
    <xf numFmtId="0" fontId="35" fillId="0" borderId="36" xfId="0" applyFont="1" applyFill="1" applyBorder="1" applyAlignment="1">
      <alignment horizontal="center" vertical="center" wrapText="1"/>
    </xf>
    <xf numFmtId="0" fontId="99" fillId="0" borderId="12" xfId="0" applyFont="1" applyFill="1" applyBorder="1" applyAlignment="1">
      <alignment horizontal="left" vertical="top" wrapText="1"/>
    </xf>
    <xf numFmtId="0" fontId="35" fillId="0" borderId="0" xfId="0" applyFont="1" applyFill="1" applyBorder="1" applyAlignment="1">
      <alignment horizontal="left" vertical="top"/>
    </xf>
    <xf numFmtId="14" fontId="35" fillId="0" borderId="0" xfId="0" applyNumberFormat="1" applyFont="1" applyFill="1" applyAlignment="1">
      <alignment vertical="top"/>
    </xf>
    <xf numFmtId="0" fontId="100" fillId="0" borderId="12" xfId="0" applyFont="1" applyFill="1" applyBorder="1" applyAlignment="1">
      <alignment horizontal="center" vertical="center"/>
    </xf>
    <xf numFmtId="201" fontId="100" fillId="0" borderId="32" xfId="0" applyNumberFormat="1" applyFont="1" applyFill="1" applyBorder="1" applyAlignment="1">
      <alignment horizontal="center" vertical="center"/>
    </xf>
    <xf numFmtId="0" fontId="100" fillId="0" borderId="0" xfId="0" applyFont="1" applyFill="1" applyAlignment="1">
      <alignment/>
    </xf>
    <xf numFmtId="0" fontId="35" fillId="0" borderId="12" xfId="0" applyFont="1" applyBorder="1" applyAlignment="1">
      <alignment horizontal="center" vertical="center"/>
    </xf>
    <xf numFmtId="201" fontId="35" fillId="0" borderId="32" xfId="0" applyNumberFormat="1" applyFont="1" applyBorder="1" applyAlignment="1">
      <alignment horizontal="center" vertical="center"/>
    </xf>
    <xf numFmtId="0" fontId="35" fillId="0" borderId="0" xfId="0" applyFont="1" applyAlignment="1">
      <alignment/>
    </xf>
    <xf numFmtId="49" fontId="35" fillId="0" borderId="12" xfId="0" applyNumberFormat="1" applyFont="1" applyBorder="1" applyAlignment="1">
      <alignment horizontal="center" vertical="center"/>
    </xf>
    <xf numFmtId="201" fontId="100" fillId="0" borderId="12"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xf>
    <xf numFmtId="0" fontId="35" fillId="0" borderId="33" xfId="0" applyFont="1" applyFill="1" applyBorder="1" applyAlignment="1">
      <alignment horizontal="center" vertical="center"/>
    </xf>
    <xf numFmtId="4" fontId="96" fillId="0" borderId="36" xfId="0" applyNumberFormat="1" applyFont="1" applyFill="1" applyBorder="1" applyAlignment="1">
      <alignment horizontal="center" vertical="center"/>
    </xf>
    <xf numFmtId="201" fontId="6" fillId="0" borderId="12" xfId="0" applyNumberFormat="1" applyFont="1" applyBorder="1" applyAlignment="1">
      <alignment horizontal="left" vertical="top"/>
    </xf>
    <xf numFmtId="0" fontId="6" fillId="0" borderId="12" xfId="0" applyFont="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97" fillId="0" borderId="12" xfId="0" applyFont="1" applyFill="1" applyBorder="1" applyAlignment="1">
      <alignment horizontal="center" vertical="center"/>
    </xf>
    <xf numFmtId="0" fontId="6" fillId="0" borderId="32" xfId="0" applyFont="1" applyBorder="1" applyAlignment="1">
      <alignment horizontal="left" vertical="top"/>
    </xf>
    <xf numFmtId="4" fontId="10" fillId="0" borderId="20" xfId="0" applyNumberFormat="1" applyFont="1" applyBorder="1" applyAlignment="1">
      <alignment horizontal="left" vertical="top"/>
    </xf>
    <xf numFmtId="201" fontId="0" fillId="0" borderId="20" xfId="0" applyNumberFormat="1" applyFont="1" applyBorder="1" applyAlignment="1">
      <alignment horizontal="left" vertical="top"/>
    </xf>
    <xf numFmtId="201" fontId="6" fillId="0" borderId="20" xfId="0" applyNumberFormat="1" applyFont="1" applyBorder="1" applyAlignment="1">
      <alignment horizontal="left" vertical="top"/>
    </xf>
    <xf numFmtId="0" fontId="10" fillId="0" borderId="36" xfId="0" applyFont="1" applyBorder="1" applyAlignment="1">
      <alignment/>
    </xf>
    <xf numFmtId="201" fontId="0" fillId="0" borderId="36" xfId="0" applyNumberFormat="1" applyBorder="1" applyAlignment="1">
      <alignment horizontal="center" vertical="center"/>
    </xf>
    <xf numFmtId="201" fontId="0" fillId="0" borderId="36" xfId="0" applyNumberFormat="1" applyFont="1" applyBorder="1" applyAlignment="1">
      <alignment horizontal="center" vertical="center"/>
    </xf>
    <xf numFmtId="201" fontId="6" fillId="0" borderId="36" xfId="0" applyNumberFormat="1" applyFont="1" applyBorder="1" applyAlignment="1">
      <alignment horizontal="center" vertical="center"/>
    </xf>
    <xf numFmtId="2" fontId="0" fillId="0" borderId="12" xfId="0" applyNumberFormat="1" applyFont="1" applyFill="1" applyBorder="1" applyAlignment="1">
      <alignment horizontal="center" vertical="center"/>
    </xf>
    <xf numFmtId="0" fontId="94" fillId="0" borderId="12" xfId="0" applyFont="1" applyFill="1" applyBorder="1" applyAlignment="1">
      <alignment horizontal="left" vertical="top"/>
    </xf>
    <xf numFmtId="0" fontId="0" fillId="0" borderId="12" xfId="0" applyFont="1" applyFill="1" applyBorder="1" applyAlignment="1">
      <alignment horizontal="left" vertical="top" wrapText="1"/>
    </xf>
    <xf numFmtId="0" fontId="100" fillId="0" borderId="14" xfId="0" applyFont="1" applyFill="1" applyBorder="1" applyAlignment="1">
      <alignment horizontal="left" vertical="top"/>
    </xf>
    <xf numFmtId="0" fontId="6" fillId="0" borderId="37" xfId="0" applyFont="1" applyFill="1" applyBorder="1" applyAlignment="1">
      <alignment horizontal="center"/>
    </xf>
    <xf numFmtId="0" fontId="6" fillId="0" borderId="22" xfId="0" applyFont="1" applyFill="1" applyBorder="1" applyAlignment="1">
      <alignment horizontal="center" vertical="center"/>
    </xf>
    <xf numFmtId="49" fontId="6" fillId="0" borderId="37" xfId="0" applyNumberFormat="1" applyFont="1" applyFill="1" applyBorder="1" applyAlignment="1">
      <alignment horizontal="center"/>
    </xf>
    <xf numFmtId="0" fontId="6" fillId="0" borderId="0" xfId="0" applyFont="1" applyFill="1" applyAlignment="1">
      <alignment horizontal="right"/>
    </xf>
    <xf numFmtId="49" fontId="6" fillId="0" borderId="37" xfId="0" applyNumberFormat="1" applyFont="1" applyFill="1" applyBorder="1" applyAlignment="1">
      <alignment horizontal="left"/>
    </xf>
    <xf numFmtId="0" fontId="6" fillId="0" borderId="0" xfId="0" applyFont="1" applyFill="1" applyAlignment="1">
      <alignment horizontal="center"/>
    </xf>
    <xf numFmtId="0" fontId="6" fillId="0" borderId="0" xfId="0" applyFont="1" applyFill="1" applyAlignment="1">
      <alignment horizontal="center" vertical="center"/>
    </xf>
    <xf numFmtId="0" fontId="5"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7" fillId="0" borderId="37" xfId="0" applyFont="1" applyFill="1" applyBorder="1" applyAlignment="1">
      <alignment horizontal="center"/>
    </xf>
    <xf numFmtId="49" fontId="6" fillId="0" borderId="56" xfId="0" applyNumberFormat="1" applyFont="1" applyFill="1" applyBorder="1" applyAlignment="1">
      <alignment horizontal="center"/>
    </xf>
    <xf numFmtId="49" fontId="6" fillId="0" borderId="36" xfId="0" applyNumberFormat="1" applyFont="1" applyFill="1" applyBorder="1" applyAlignment="1">
      <alignment horizontal="center"/>
    </xf>
    <xf numFmtId="49" fontId="6" fillId="0" borderId="48" xfId="0" applyNumberFormat="1" applyFont="1" applyFill="1" applyBorder="1" applyAlignment="1">
      <alignment horizontal="center"/>
    </xf>
    <xf numFmtId="0" fontId="8" fillId="0" borderId="0" xfId="0" applyFont="1" applyFill="1" applyAlignment="1">
      <alignment vertical="center" wrapText="1"/>
    </xf>
    <xf numFmtId="0" fontId="0" fillId="0" borderId="0" xfId="0" applyFill="1" applyAlignment="1">
      <alignment vertical="center" wrapText="1"/>
    </xf>
    <xf numFmtId="49" fontId="8" fillId="0" borderId="37" xfId="0" applyNumberFormat="1" applyFont="1" applyFill="1" applyBorder="1" applyAlignment="1">
      <alignment horizontal="left"/>
    </xf>
    <xf numFmtId="0" fontId="35" fillId="0" borderId="0" xfId="0" applyFont="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left" wrapText="1"/>
    </xf>
    <xf numFmtId="0" fontId="0" fillId="0" borderId="0" xfId="0" applyFill="1" applyAlignment="1">
      <alignment horizontal="left" wrapText="1"/>
    </xf>
    <xf numFmtId="0" fontId="7" fillId="0" borderId="37" xfId="0" applyFont="1" applyFill="1" applyBorder="1" applyAlignment="1">
      <alignment horizontal="center" wrapText="1"/>
    </xf>
    <xf numFmtId="49" fontId="6" fillId="0" borderId="57" xfId="0" applyNumberFormat="1" applyFont="1" applyFill="1" applyBorder="1" applyAlignment="1">
      <alignment horizontal="center"/>
    </xf>
    <xf numFmtId="49" fontId="6" fillId="0" borderId="50" xfId="0" applyNumberFormat="1" applyFont="1" applyFill="1" applyBorder="1" applyAlignment="1">
      <alignment horizontal="center"/>
    </xf>
    <xf numFmtId="49" fontId="6" fillId="0" borderId="58" xfId="0" applyNumberFormat="1" applyFont="1" applyFill="1" applyBorder="1" applyAlignment="1">
      <alignment horizontal="center"/>
    </xf>
    <xf numFmtId="0" fontId="6" fillId="0" borderId="59"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61" xfId="0" applyFont="1" applyFill="1" applyBorder="1" applyAlignment="1">
      <alignment horizontal="center" vertical="center"/>
    </xf>
    <xf numFmtId="49" fontId="6" fillId="0" borderId="62" xfId="0" applyNumberFormat="1" applyFont="1" applyFill="1" applyBorder="1" applyAlignment="1">
      <alignment horizontal="center"/>
    </xf>
    <xf numFmtId="49" fontId="6" fillId="0" borderId="63" xfId="0" applyNumberFormat="1" applyFont="1" applyFill="1" applyBorder="1" applyAlignment="1">
      <alignment horizontal="center"/>
    </xf>
    <xf numFmtId="49" fontId="6" fillId="0" borderId="64" xfId="0" applyNumberFormat="1" applyFont="1" applyFill="1" applyBorder="1" applyAlignment="1">
      <alignment horizontal="center"/>
    </xf>
    <xf numFmtId="4"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5" fillId="0" borderId="36" xfId="0" applyFont="1" applyFill="1" applyBorder="1" applyAlignment="1">
      <alignment horizontal="center" vertical="center" wrapText="1"/>
    </xf>
    <xf numFmtId="49" fontId="6" fillId="0" borderId="36"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25" fillId="0" borderId="36" xfId="0" applyFont="1" applyFill="1" applyBorder="1" applyAlignment="1">
      <alignment horizontal="center" vertical="center" wrapText="1"/>
    </xf>
    <xf numFmtId="0" fontId="6" fillId="0" borderId="22" xfId="0" applyFont="1" applyFill="1" applyBorder="1" applyAlignment="1">
      <alignment horizontal="center"/>
    </xf>
    <xf numFmtId="0" fontId="5" fillId="0" borderId="36" xfId="0" applyFont="1" applyFill="1" applyBorder="1" applyAlignment="1">
      <alignment horizontal="center" vertical="center"/>
    </xf>
    <xf numFmtId="4" fontId="96" fillId="0" borderId="36"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xf>
    <xf numFmtId="49" fontId="5" fillId="0" borderId="36" xfId="0" applyNumberFormat="1" applyFont="1" applyFill="1" applyBorder="1" applyAlignment="1">
      <alignment horizontal="center" wrapText="1"/>
    </xf>
    <xf numFmtId="0" fontId="32" fillId="0" borderId="36" xfId="0" applyFont="1" applyFill="1" applyBorder="1" applyAlignment="1">
      <alignment horizontal="center" wrapText="1"/>
    </xf>
    <xf numFmtId="49" fontId="5" fillId="0" borderId="36" xfId="0" applyNumberFormat="1" applyFont="1" applyFill="1" applyBorder="1" applyAlignment="1">
      <alignment horizontal="center" vertical="center" wrapText="1"/>
    </xf>
    <xf numFmtId="0" fontId="32" fillId="0" borderId="36" xfId="0" applyFont="1" applyFill="1" applyBorder="1" applyAlignment="1">
      <alignment horizontal="center" vertical="center" wrapText="1"/>
    </xf>
    <xf numFmtId="49"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201" fontId="5" fillId="0" borderId="36" xfId="0" applyNumberFormat="1"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vertical="center"/>
    </xf>
    <xf numFmtId="0" fontId="5" fillId="0" borderId="36" xfId="0" applyNumberFormat="1" applyFont="1" applyFill="1" applyBorder="1" applyAlignment="1">
      <alignment horizontal="center" vertical="center"/>
    </xf>
    <xf numFmtId="11" fontId="5" fillId="0" borderId="36" xfId="67" applyNumberFormat="1" applyFont="1" applyFill="1" applyBorder="1" applyAlignment="1">
      <alignment horizontal="center" vertical="center" wrapText="1"/>
    </xf>
    <xf numFmtId="11" fontId="32" fillId="0" borderId="36" xfId="67" applyNumberFormat="1" applyFont="1" applyFill="1" applyBorder="1" applyAlignment="1">
      <alignment horizontal="center" vertical="center" wrapText="1"/>
    </xf>
    <xf numFmtId="0" fontId="5" fillId="0" borderId="36" xfId="0" applyNumberFormat="1" applyFont="1" applyFill="1" applyBorder="1" applyAlignment="1">
      <alignment horizontal="right"/>
    </xf>
    <xf numFmtId="49" fontId="5" fillId="0" borderId="33"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201" fontId="5" fillId="0" borderId="33" xfId="0" applyNumberFormat="1" applyFont="1" applyFill="1" applyBorder="1" applyAlignment="1">
      <alignment horizontal="center"/>
    </xf>
    <xf numFmtId="201" fontId="5" fillId="0" borderId="35" xfId="0" applyNumberFormat="1" applyFont="1" applyFill="1" applyBorder="1" applyAlignment="1">
      <alignment horizontal="center"/>
    </xf>
    <xf numFmtId="0" fontId="5" fillId="0" borderId="22" xfId="0" applyFont="1" applyFill="1" applyBorder="1" applyAlignment="1">
      <alignment vertical="center" wrapText="1"/>
    </xf>
    <xf numFmtId="0" fontId="32" fillId="0" borderId="37" xfId="0" applyFont="1" applyFill="1" applyBorder="1" applyAlignment="1">
      <alignment vertical="center" wrapText="1"/>
    </xf>
    <xf numFmtId="0" fontId="5" fillId="0" borderId="33" xfId="0" applyFont="1" applyFill="1" applyBorder="1" applyAlignment="1">
      <alignment vertical="center" wrapText="1"/>
    </xf>
    <xf numFmtId="0" fontId="5" fillId="0" borderId="35" xfId="0" applyFont="1" applyFill="1" applyBorder="1" applyAlignment="1">
      <alignment vertical="center" wrapText="1"/>
    </xf>
    <xf numFmtId="0" fontId="32" fillId="0" borderId="0" xfId="0" applyFont="1" applyFill="1" applyBorder="1" applyAlignment="1">
      <alignment vertical="center" wrapText="1"/>
    </xf>
    <xf numFmtId="0" fontId="5" fillId="0" borderId="36" xfId="0" applyFont="1" applyFill="1" applyBorder="1" applyAlignment="1">
      <alignment vertical="center" wrapText="1"/>
    </xf>
    <xf numFmtId="0" fontId="32" fillId="0" borderId="36" xfId="0" applyFont="1" applyBorder="1" applyAlignment="1">
      <alignment vertical="center" wrapText="1"/>
    </xf>
    <xf numFmtId="0" fontId="5" fillId="0" borderId="33" xfId="0" applyNumberFormat="1" applyFont="1" applyFill="1" applyBorder="1" applyAlignment="1">
      <alignment horizontal="right"/>
    </xf>
    <xf numFmtId="0" fontId="5" fillId="0" borderId="35" xfId="0" applyNumberFormat="1" applyFont="1" applyFill="1" applyBorder="1" applyAlignment="1">
      <alignment horizontal="right"/>
    </xf>
    <xf numFmtId="0" fontId="5" fillId="0" borderId="36" xfId="0" applyFont="1" applyBorder="1" applyAlignment="1">
      <alignment horizontal="center" vertical="center" wrapText="1"/>
    </xf>
    <xf numFmtId="0" fontId="32" fillId="0" borderId="36" xfId="0" applyFont="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Fill="1" applyBorder="1" applyAlignment="1">
      <alignment vertical="center" wrapText="1"/>
    </xf>
    <xf numFmtId="201" fontId="5" fillId="0" borderId="39" xfId="0" applyNumberFormat="1" applyFont="1" applyFill="1" applyBorder="1" applyAlignment="1">
      <alignment horizontal="center"/>
    </xf>
    <xf numFmtId="0" fontId="32" fillId="0" borderId="33"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xf>
    <xf numFmtId="0" fontId="38" fillId="0" borderId="0" xfId="0" applyFont="1" applyBorder="1" applyAlignment="1">
      <alignment vertical="top" wrapText="1"/>
    </xf>
    <xf numFmtId="0" fontId="0" fillId="0" borderId="0" xfId="0" applyAlignment="1">
      <alignment wrapText="1"/>
    </xf>
    <xf numFmtId="0" fontId="35" fillId="0" borderId="0" xfId="0" applyFont="1" applyBorder="1" applyAlignment="1">
      <alignment vertical="top" wrapText="1"/>
    </xf>
    <xf numFmtId="0" fontId="8"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5"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5" fillId="0" borderId="33" xfId="0" applyFont="1" applyBorder="1" applyAlignment="1">
      <alignment horizontal="left" vertical="top" wrapText="1" indent="1"/>
    </xf>
    <xf numFmtId="0" fontId="0" fillId="0" borderId="34" xfId="0" applyBorder="1" applyAlignment="1">
      <alignment horizontal="left" vertical="top" wrapText="1"/>
    </xf>
    <xf numFmtId="0" fontId="0" fillId="0" borderId="65" xfId="0" applyBorder="1" applyAlignment="1">
      <alignment horizontal="left" vertical="top" wrapText="1"/>
    </xf>
    <xf numFmtId="0" fontId="17" fillId="0" borderId="0" xfId="0" applyFont="1" applyBorder="1" applyAlignment="1">
      <alignment horizontal="center" vertical="center"/>
    </xf>
    <xf numFmtId="0" fontId="35" fillId="0" borderId="0" xfId="0" applyFont="1" applyBorder="1" applyAlignment="1">
      <alignment horizontal="center" vertical="center"/>
    </xf>
    <xf numFmtId="0" fontId="0" fillId="0" borderId="0" xfId="0" applyFont="1" applyBorder="1" applyAlignment="1">
      <alignment horizontal="center" vertical="center"/>
    </xf>
    <xf numFmtId="0" fontId="0" fillId="0" borderId="66" xfId="0" applyBorder="1" applyAlignment="1">
      <alignment horizontal="center" vertical="center"/>
    </xf>
    <xf numFmtId="0" fontId="0" fillId="0" borderId="32" xfId="0" applyBorder="1" applyAlignment="1">
      <alignment horizontal="left" vertical="top"/>
    </xf>
    <xf numFmtId="0" fontId="0" fillId="0" borderId="13" xfId="0"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wrapText="1"/>
    </xf>
    <xf numFmtId="0" fontId="0" fillId="0" borderId="40" xfId="0"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xf>
    <xf numFmtId="0" fontId="0" fillId="0" borderId="13" xfId="0" applyBorder="1" applyAlignment="1">
      <alignment horizontal="left"/>
    </xf>
    <xf numFmtId="0" fontId="0" fillId="0" borderId="20" xfId="0" applyBorder="1" applyAlignment="1">
      <alignment horizontal="left"/>
    </xf>
    <xf numFmtId="0" fontId="0" fillId="0" borderId="14" xfId="0" applyBorder="1" applyAlignment="1">
      <alignment horizontal="left" vertical="top"/>
    </xf>
    <xf numFmtId="0" fontId="0" fillId="0" borderId="30" xfId="0" applyBorder="1" applyAlignment="1">
      <alignment horizontal="left" vertical="top"/>
    </xf>
    <xf numFmtId="0" fontId="0" fillId="0" borderId="14" xfId="0" applyBorder="1" applyAlignment="1">
      <alignment horizontal="justify" vertical="top" wrapText="1"/>
    </xf>
    <xf numFmtId="0" fontId="0" fillId="0" borderId="40" xfId="0" applyBorder="1" applyAlignment="1">
      <alignment horizontal="justify" vertical="top" wrapText="1"/>
    </xf>
    <xf numFmtId="0" fontId="0" fillId="0" borderId="30" xfId="0" applyBorder="1" applyAlignment="1">
      <alignment horizontal="justify" vertical="top" wrapText="1"/>
    </xf>
    <xf numFmtId="0" fontId="0" fillId="0" borderId="14" xfId="0" applyBorder="1" applyAlignment="1">
      <alignment horizontal="left" wrapText="1"/>
    </xf>
    <xf numFmtId="0" fontId="0" fillId="0" borderId="30" xfId="0" applyBorder="1" applyAlignment="1">
      <alignment horizontal="left"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xf numFmtId="0" fontId="5" fillId="0" borderId="14" xfId="0" applyFont="1" applyBorder="1" applyAlignment="1">
      <alignment horizontal="center" vertical="center" wrapText="1"/>
    </xf>
    <xf numFmtId="0" fontId="8" fillId="0" borderId="0" xfId="0" applyFont="1" applyBorder="1" applyAlignment="1">
      <alignment horizontal="center" vertical="top"/>
    </xf>
    <xf numFmtId="0" fontId="17" fillId="0" borderId="0" xfId="0" applyFont="1" applyBorder="1" applyAlignment="1">
      <alignment horizontal="center" vertical="top"/>
    </xf>
    <xf numFmtId="0" fontId="10" fillId="0" borderId="37" xfId="0" applyFont="1" applyBorder="1" applyAlignment="1">
      <alignment horizontal="center"/>
    </xf>
    <xf numFmtId="0" fontId="0" fillId="0" borderId="14" xfId="0" applyBorder="1" applyAlignment="1">
      <alignment horizontal="center" vertical="center"/>
    </xf>
    <xf numFmtId="0" fontId="0" fillId="0" borderId="30" xfId="0" applyBorder="1" applyAlignment="1">
      <alignment horizontal="center" vertical="center"/>
    </xf>
    <xf numFmtId="0" fontId="12" fillId="0" borderId="0" xfId="0" applyFont="1" applyFill="1" applyBorder="1" applyAlignment="1">
      <alignment horizontal="center" vertical="top"/>
    </xf>
    <xf numFmtId="0" fontId="5" fillId="0" borderId="22" xfId="0" applyFont="1" applyFill="1" applyBorder="1" applyAlignment="1">
      <alignment horizontal="center" vertical="top"/>
    </xf>
    <xf numFmtId="0" fontId="5" fillId="0" borderId="14" xfId="0" applyFont="1" applyFill="1" applyBorder="1" applyAlignment="1">
      <alignment horizontal="center" vertical="top"/>
    </xf>
    <xf numFmtId="0" fontId="5" fillId="0" borderId="30" xfId="0" applyFont="1" applyFill="1" applyBorder="1" applyAlignment="1">
      <alignment horizontal="center" vertical="top"/>
    </xf>
    <xf numFmtId="0" fontId="5" fillId="0" borderId="14" xfId="0" applyFont="1" applyFill="1" applyBorder="1" applyAlignment="1">
      <alignment horizontal="left" vertical="top"/>
    </xf>
    <xf numFmtId="0" fontId="5" fillId="0" borderId="30" xfId="0" applyFont="1" applyFill="1" applyBorder="1" applyAlignment="1">
      <alignment horizontal="left" vertical="top"/>
    </xf>
    <xf numFmtId="0" fontId="5" fillId="0" borderId="3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20" xfId="0" applyFont="1" applyFill="1" applyBorder="1" applyAlignment="1">
      <alignment horizontal="center" vertical="top" wrapText="1"/>
    </xf>
    <xf numFmtId="0" fontId="6" fillId="0" borderId="32" xfId="0" applyFont="1" applyBorder="1" applyAlignment="1">
      <alignment horizontal="left" vertical="top" indent="1"/>
    </xf>
    <xf numFmtId="0" fontId="6" fillId="0" borderId="20" xfId="0" applyFont="1" applyBorder="1" applyAlignment="1">
      <alignment horizontal="left" vertical="top" indent="1"/>
    </xf>
    <xf numFmtId="0" fontId="6" fillId="0" borderId="0" xfId="0" applyFont="1" applyBorder="1" applyAlignment="1">
      <alignment horizontal="center" vertical="top"/>
    </xf>
    <xf numFmtId="0" fontId="8" fillId="0" borderId="37" xfId="0" applyFont="1" applyBorder="1" applyAlignment="1">
      <alignment horizont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wrapText="1"/>
    </xf>
    <xf numFmtId="0" fontId="6" fillId="0" borderId="13" xfId="0" applyFont="1" applyBorder="1" applyAlignment="1">
      <alignment horizontal="center" wrapText="1"/>
    </xf>
    <xf numFmtId="0" fontId="6" fillId="0" borderId="20" xfId="0" applyFont="1" applyBorder="1" applyAlignment="1">
      <alignment horizontal="center" wrapText="1"/>
    </xf>
    <xf numFmtId="0" fontId="0" fillId="0" borderId="1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wrapText="1"/>
    </xf>
    <xf numFmtId="0" fontId="0" fillId="0" borderId="13" xfId="0" applyFont="1" applyBorder="1" applyAlignment="1">
      <alignment horizontal="center" wrapText="1"/>
    </xf>
    <xf numFmtId="0" fontId="0" fillId="0" borderId="20" xfId="0" applyFont="1" applyBorder="1" applyAlignment="1">
      <alignment horizontal="center" wrapText="1"/>
    </xf>
    <xf numFmtId="0" fontId="99" fillId="0" borderId="37" xfId="0" applyFont="1" applyBorder="1" applyAlignment="1">
      <alignment horizontal="center"/>
    </xf>
    <xf numFmtId="0" fontId="0" fillId="0" borderId="22" xfId="0" applyBorder="1" applyAlignment="1">
      <alignment horizontal="center" vertical="top"/>
    </xf>
    <xf numFmtId="0" fontId="10" fillId="0" borderId="32" xfId="0" applyFont="1" applyBorder="1" applyAlignment="1">
      <alignment horizontal="left" vertical="top"/>
    </xf>
    <xf numFmtId="0" fontId="10" fillId="0" borderId="20" xfId="0" applyFont="1" applyBorder="1" applyAlignment="1">
      <alignment horizontal="left" vertical="top"/>
    </xf>
    <xf numFmtId="0" fontId="0" fillId="0" borderId="32" xfId="0" applyBorder="1" applyAlignment="1">
      <alignment horizontal="center" wrapText="1"/>
    </xf>
    <xf numFmtId="0" fontId="0" fillId="0" borderId="13" xfId="0" applyBorder="1" applyAlignment="1">
      <alignment horizontal="center" wrapText="1"/>
    </xf>
    <xf numFmtId="0" fontId="0" fillId="0" borderId="20" xfId="0" applyBorder="1" applyAlignment="1">
      <alignment horizontal="center" wrapText="1"/>
    </xf>
    <xf numFmtId="0" fontId="0" fillId="0" borderId="32" xfId="0" applyFont="1" applyBorder="1" applyAlignment="1">
      <alignment horizontal="left" indent="1"/>
    </xf>
    <xf numFmtId="0" fontId="0" fillId="0" borderId="20" xfId="0" applyFont="1" applyBorder="1" applyAlignment="1">
      <alignment horizontal="left" indent="1"/>
    </xf>
    <xf numFmtId="0" fontId="43" fillId="0" borderId="14"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0" fillId="0" borderId="32"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8" fillId="0" borderId="0" xfId="55" applyFont="1" applyAlignment="1">
      <alignment wrapText="1"/>
      <protection/>
    </xf>
    <xf numFmtId="0" fontId="26" fillId="0" borderId="0" xfId="55" applyFont="1" applyAlignment="1">
      <alignment vertical="top" wrapText="1"/>
      <protection/>
    </xf>
    <xf numFmtId="0" fontId="8" fillId="2" borderId="14" xfId="55" applyFont="1" applyFill="1" applyBorder="1" applyAlignment="1">
      <alignment horizontal="center" vertical="center" wrapText="1"/>
      <protection/>
    </xf>
    <xf numFmtId="0" fontId="8" fillId="2" borderId="40" xfId="55" applyFont="1" applyFill="1" applyBorder="1" applyAlignment="1">
      <alignment horizontal="center" vertical="center" wrapText="1"/>
      <protection/>
    </xf>
    <xf numFmtId="0" fontId="8" fillId="2" borderId="30" xfId="55" applyFont="1" applyFill="1" applyBorder="1" applyAlignment="1">
      <alignment horizontal="center" vertical="center" wrapText="1"/>
      <protection/>
    </xf>
    <xf numFmtId="0" fontId="8" fillId="0" borderId="14" xfId="55" applyFont="1" applyBorder="1" applyAlignment="1">
      <alignment horizontal="center" vertical="center" wrapText="1"/>
      <protection/>
    </xf>
    <xf numFmtId="0" fontId="8" fillId="0" borderId="40" xfId="55" applyFont="1" applyBorder="1" applyAlignment="1">
      <alignment horizontal="center" vertical="center" wrapText="1"/>
      <protection/>
    </xf>
    <xf numFmtId="0" fontId="8" fillId="0" borderId="30" xfId="55" applyFont="1" applyBorder="1" applyAlignment="1">
      <alignment horizontal="center" vertical="center" wrapText="1"/>
      <protection/>
    </xf>
    <xf numFmtId="0" fontId="8" fillId="0" borderId="32" xfId="55" applyFont="1" applyBorder="1" applyAlignment="1">
      <alignment horizontal="center" vertical="center" wrapText="1"/>
      <protection/>
    </xf>
    <xf numFmtId="0" fontId="8" fillId="0" borderId="13" xfId="55" applyFont="1" applyBorder="1" applyAlignment="1">
      <alignment horizontal="center" vertical="center" wrapText="1"/>
      <protection/>
    </xf>
    <xf numFmtId="0" fontId="8" fillId="2" borderId="67" xfId="55" applyFont="1" applyFill="1" applyBorder="1" applyAlignment="1">
      <alignment horizontal="left" vertical="center" wrapText="1"/>
      <protection/>
    </xf>
    <xf numFmtId="0" fontId="8" fillId="2" borderId="60" xfId="55" applyFont="1" applyFill="1" applyBorder="1" applyAlignment="1">
      <alignment horizontal="left" vertical="center" wrapText="1"/>
      <protection/>
    </xf>
    <xf numFmtId="0" fontId="7" fillId="0" borderId="0" xfId="55" applyFont="1" applyAlignment="1">
      <alignment wrapText="1"/>
      <protection/>
    </xf>
    <xf numFmtId="0" fontId="10" fillId="0" borderId="0" xfId="0" applyFont="1" applyAlignment="1">
      <alignment wrapText="1"/>
    </xf>
    <xf numFmtId="0" fontId="18" fillId="0" borderId="0" xfId="55" applyFont="1" applyAlignment="1">
      <alignment horizontal="center" wrapText="1"/>
      <protection/>
    </xf>
    <xf numFmtId="0" fontId="11" fillId="0" borderId="0" xfId="55" applyFont="1" applyAlignment="1">
      <alignment horizontal="center" wrapText="1"/>
      <protection/>
    </xf>
    <xf numFmtId="0" fontId="11" fillId="0" borderId="37" xfId="55" applyFont="1" applyBorder="1" applyAlignment="1">
      <alignment horizontal="center" wrapText="1"/>
      <protection/>
    </xf>
    <xf numFmtId="0" fontId="0" fillId="0" borderId="37" xfId="0" applyBorder="1" applyAlignment="1">
      <alignment wrapText="1"/>
    </xf>
    <xf numFmtId="0" fontId="29" fillId="0" borderId="0" xfId="54" applyFont="1" applyBorder="1" applyAlignment="1">
      <alignment horizontal="center" vertical="top" wrapText="1"/>
      <protection/>
    </xf>
    <xf numFmtId="0" fontId="8" fillId="0" borderId="52" xfId="55" applyFont="1" applyBorder="1" applyAlignment="1">
      <alignment horizontal="center" vertical="center" wrapText="1"/>
      <protection/>
    </xf>
    <xf numFmtId="0" fontId="8" fillId="0" borderId="27" xfId="55" applyFont="1" applyBorder="1" applyAlignment="1">
      <alignment horizontal="center" vertical="center" wrapText="1"/>
      <protection/>
    </xf>
    <xf numFmtId="0" fontId="8" fillId="0" borderId="51" xfId="55" applyFont="1" applyBorder="1" applyAlignment="1">
      <alignment horizontal="center" vertical="center" wrapText="1"/>
      <protection/>
    </xf>
    <xf numFmtId="0" fontId="20" fillId="0" borderId="40" xfId="54" applyFont="1" applyBorder="1" applyAlignment="1">
      <alignment horizontal="center" vertical="center" wrapText="1"/>
      <protection/>
    </xf>
    <xf numFmtId="0" fontId="20" fillId="0" borderId="30" xfId="54" applyFont="1" applyBorder="1" applyAlignment="1">
      <alignment horizontal="center" vertical="center" wrapText="1"/>
      <protection/>
    </xf>
    <xf numFmtId="0" fontId="8" fillId="0" borderId="68" xfId="55" applyFont="1" applyBorder="1" applyAlignment="1">
      <alignment horizontal="center" vertical="center" wrapText="1"/>
      <protection/>
    </xf>
    <xf numFmtId="0" fontId="8" fillId="0" borderId="20" xfId="55" applyFont="1" applyBorder="1" applyAlignment="1">
      <alignment horizontal="center" vertical="center" wrapText="1"/>
      <protection/>
    </xf>
    <xf numFmtId="0" fontId="11" fillId="2" borderId="69" xfId="55" applyFont="1" applyFill="1" applyBorder="1" applyAlignment="1">
      <alignment horizontal="justify" vertical="top" wrapText="1"/>
      <protection/>
    </xf>
    <xf numFmtId="0" fontId="11" fillId="2" borderId="70" xfId="55" applyFont="1" applyFill="1" applyBorder="1" applyAlignment="1">
      <alignment horizontal="justify" vertical="top" wrapText="1"/>
      <protection/>
    </xf>
    <xf numFmtId="0" fontId="8" fillId="0" borderId="0" xfId="55" applyFont="1" applyBorder="1" applyAlignment="1">
      <alignment horizontal="center" vertical="center" wrapText="1"/>
      <protection/>
    </xf>
    <xf numFmtId="0" fontId="8" fillId="0" borderId="43" xfId="55" applyFont="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tore2\econ_kat\ECON_ZP\2022%20&#1075;&#1086;&#1076;\&#1076;&#1077;&#1082;&#1072;&#1073;&#1088;&#1100;%20&#1088;&#1072;&#1073;&#1086;&#1095;&#1080;&#10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аницы  с 1 по 1"/>
    </sheetNames>
    <sheetDataSet>
      <sheetData sheetId="0">
        <row r="220">
          <cell r="F220">
            <v>1343.6082529077473</v>
          </cell>
        </row>
        <row r="221">
          <cell r="F221">
            <v>1352.126289879802</v>
          </cell>
        </row>
        <row r="222">
          <cell r="F222">
            <v>1787.8911286606935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L50"/>
  <sheetViews>
    <sheetView tabSelected="1" zoomScale="68" zoomScaleNormal="68" zoomScalePageLayoutView="0" workbookViewId="0" topLeftCell="A8">
      <selection activeCell="BE52" sqref="BE52"/>
    </sheetView>
  </sheetViews>
  <sheetFormatPr defaultColWidth="1.37890625" defaultRowHeight="12.75"/>
  <cols>
    <col min="1" max="1" width="1.37890625" style="119" customWidth="1"/>
    <col min="2" max="19" width="1.37890625" style="3" customWidth="1"/>
    <col min="20" max="20" width="2.625" style="3" customWidth="1"/>
    <col min="21" max="59" width="1.37890625" style="3" customWidth="1"/>
    <col min="60" max="60" width="2.75390625" style="3" customWidth="1"/>
    <col min="61" max="61" width="1.37890625" style="3" customWidth="1"/>
    <col min="62" max="62" width="1.875" style="3" customWidth="1"/>
    <col min="63" max="64" width="1.37890625" style="3" customWidth="1"/>
    <col min="65" max="65" width="0.6171875" style="3" customWidth="1"/>
    <col min="66" max="69" width="1.37890625" style="3" customWidth="1"/>
    <col min="70" max="70" width="2.875" style="3" customWidth="1"/>
    <col min="71" max="71" width="2.00390625" style="3" customWidth="1"/>
    <col min="72" max="89" width="1.37890625" style="3" customWidth="1"/>
    <col min="90" max="90" width="2.375" style="3" customWidth="1"/>
    <col min="91" max="16384" width="1.37890625" style="3" customWidth="1"/>
  </cols>
  <sheetData>
    <row r="1" s="1" customFormat="1" ht="13.5" customHeight="1" hidden="1">
      <c r="A1" s="119"/>
    </row>
    <row r="2" s="117" customFormat="1" ht="12.75" customHeight="1" hidden="1">
      <c r="A2" s="119"/>
    </row>
    <row r="3" s="1" customFormat="1" ht="12.75" customHeight="1" hidden="1">
      <c r="A3" s="119"/>
    </row>
    <row r="4" s="1" customFormat="1" ht="12.75" customHeight="1" hidden="1">
      <c r="A4" s="133"/>
    </row>
    <row r="5" s="1" customFormat="1" ht="10.5" customHeight="1" hidden="1">
      <c r="A5" s="119"/>
    </row>
    <row r="6" s="1" customFormat="1" ht="21.75" customHeight="1" hidden="1">
      <c r="A6" s="133"/>
    </row>
    <row r="7" s="1" customFormat="1" ht="21.75" customHeight="1" hidden="1">
      <c r="A7" s="119"/>
    </row>
    <row r="8" spans="1:96" s="1" customFormat="1" ht="21.75" customHeight="1">
      <c r="A8" s="119"/>
      <c r="BC8" s="206" t="s">
        <v>433</v>
      </c>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row>
    <row r="9" spans="1:96" ht="80.25" customHeight="1">
      <c r="A9" s="133"/>
      <c r="BC9" s="633" t="s">
        <v>434</v>
      </c>
      <c r="BD9" s="633"/>
      <c r="BE9" s="633"/>
      <c r="BF9" s="633"/>
      <c r="BG9" s="633"/>
      <c r="BH9" s="633"/>
      <c r="BI9" s="633"/>
      <c r="BJ9" s="633"/>
      <c r="BK9" s="633"/>
      <c r="BL9" s="633"/>
      <c r="BM9" s="633"/>
      <c r="BN9" s="633"/>
      <c r="BO9" s="633"/>
      <c r="BP9" s="633"/>
      <c r="BQ9" s="633"/>
      <c r="BR9" s="633"/>
      <c r="BS9" s="633"/>
      <c r="BT9" s="633"/>
      <c r="BU9" s="633"/>
      <c r="BV9" s="633"/>
      <c r="BW9" s="633"/>
      <c r="BX9" s="633"/>
      <c r="BY9" s="633"/>
      <c r="BZ9" s="633"/>
      <c r="CA9" s="633"/>
      <c r="CB9" s="633"/>
      <c r="CC9" s="633"/>
      <c r="CD9" s="633"/>
      <c r="CE9" s="633"/>
      <c r="CF9" s="633"/>
      <c r="CG9" s="633"/>
      <c r="CH9" s="633"/>
      <c r="CI9" s="633"/>
      <c r="CJ9" s="633"/>
      <c r="CK9" s="633"/>
      <c r="CL9" s="633"/>
      <c r="CM9" s="633"/>
      <c r="CN9" s="633"/>
      <c r="CO9" s="633"/>
      <c r="CP9" s="633"/>
      <c r="CQ9" s="633"/>
      <c r="CR9" s="633"/>
    </row>
    <row r="10" spans="1:96" ht="12.75" customHeight="1">
      <c r="A10" s="133"/>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row>
    <row r="11" spans="1:116" ht="12.75" customHeight="1">
      <c r="A11" s="150" t="s">
        <v>362</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32"/>
      <c r="AX11" s="132"/>
      <c r="AY11" s="132"/>
      <c r="AZ11" s="132"/>
      <c r="BA11" s="132"/>
      <c r="BB11" s="132"/>
      <c r="BC11" s="119"/>
      <c r="BD11" s="119"/>
      <c r="BE11" s="119"/>
      <c r="BF11" s="119"/>
      <c r="BG11" s="119"/>
      <c r="BH11" s="119"/>
      <c r="BI11" s="119"/>
      <c r="BJ11" s="119"/>
      <c r="BK11" s="119"/>
      <c r="BL11" s="119"/>
      <c r="BM11" s="119"/>
      <c r="BN11" s="119"/>
      <c r="BO11" s="119"/>
      <c r="BP11" s="119"/>
      <c r="BQ11" s="622" t="s">
        <v>258</v>
      </c>
      <c r="BR11" s="622"/>
      <c r="BS11" s="622"/>
      <c r="BT11" s="622"/>
      <c r="BU11" s="622"/>
      <c r="BV11" s="622"/>
      <c r="BW11" s="622"/>
      <c r="BX11" s="622"/>
      <c r="BY11" s="622"/>
      <c r="BZ11" s="622"/>
      <c r="CA11" s="622"/>
      <c r="CB11" s="622"/>
      <c r="CC11" s="622"/>
      <c r="CD11" s="622"/>
      <c r="CE11" s="622"/>
      <c r="CF11" s="622"/>
      <c r="CG11" s="622"/>
      <c r="CH11" s="622"/>
      <c r="CI11" s="622"/>
      <c r="CJ11" s="622"/>
      <c r="CK11" s="622"/>
      <c r="CL11" s="622"/>
      <c r="CM11" s="622"/>
      <c r="CN11" s="622"/>
      <c r="CO11" s="622"/>
      <c r="CP11" s="622"/>
      <c r="CQ11" s="622"/>
      <c r="CR11" s="622"/>
      <c r="CS11" s="622"/>
      <c r="CT11" s="622"/>
      <c r="CU11" s="622"/>
      <c r="CV11" s="119"/>
      <c r="CW11" s="119"/>
      <c r="CX11" s="119"/>
      <c r="CY11" s="119"/>
      <c r="CZ11" s="119"/>
      <c r="DA11" s="119"/>
      <c r="DB11" s="119"/>
      <c r="DC11" s="119"/>
      <c r="DD11" s="119"/>
      <c r="DE11" s="119"/>
      <c r="DF11" s="119"/>
      <c r="DG11" s="119"/>
      <c r="DH11" s="119"/>
      <c r="DI11" s="119"/>
      <c r="DJ11" s="119"/>
      <c r="DK11" s="119"/>
      <c r="DL11" s="119"/>
    </row>
    <row r="12" spans="1:116" ht="15" customHeight="1">
      <c r="A12" s="150" t="s">
        <v>370</v>
      </c>
      <c r="B12" s="160"/>
      <c r="C12" s="160"/>
      <c r="D12" s="160"/>
      <c r="E12" s="160"/>
      <c r="F12" s="160"/>
      <c r="G12" s="160"/>
      <c r="H12" s="160"/>
      <c r="I12" s="160"/>
      <c r="J12" s="160"/>
      <c r="K12" s="160"/>
      <c r="L12" s="160"/>
      <c r="M12" s="160"/>
      <c r="N12" s="160"/>
      <c r="O12" s="160"/>
      <c r="P12" s="160"/>
      <c r="Q12" s="160"/>
      <c r="R12" s="160"/>
      <c r="S12" s="160"/>
      <c r="T12" s="16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32"/>
      <c r="AW12" s="132"/>
      <c r="AX12" s="132"/>
      <c r="AY12" s="132"/>
      <c r="AZ12" s="132"/>
      <c r="BA12" s="132"/>
      <c r="BB12" s="132"/>
      <c r="BC12" s="119"/>
      <c r="BD12" s="119"/>
      <c r="BE12" s="119"/>
      <c r="BF12" s="119"/>
      <c r="BG12" s="119"/>
      <c r="BH12" s="119"/>
      <c r="BI12" s="119"/>
      <c r="BJ12" s="119"/>
      <c r="BK12" s="119"/>
      <c r="BL12" s="119"/>
      <c r="BM12" s="119"/>
      <c r="BN12" s="119"/>
      <c r="BO12" s="119"/>
      <c r="BP12" s="119"/>
      <c r="BQ12" s="617" t="s">
        <v>1120</v>
      </c>
      <c r="BR12" s="617"/>
      <c r="BS12" s="617"/>
      <c r="BT12" s="617"/>
      <c r="BU12" s="617"/>
      <c r="BV12" s="617"/>
      <c r="BW12" s="617"/>
      <c r="BX12" s="617"/>
      <c r="BY12" s="617"/>
      <c r="BZ12" s="617"/>
      <c r="CA12" s="617"/>
      <c r="CB12" s="617"/>
      <c r="CC12" s="617"/>
      <c r="CD12" s="617"/>
      <c r="CE12" s="617"/>
      <c r="CF12" s="617"/>
      <c r="CG12" s="617"/>
      <c r="CH12" s="617"/>
      <c r="CI12" s="617"/>
      <c r="CJ12" s="617"/>
      <c r="CK12" s="617"/>
      <c r="CL12" s="617"/>
      <c r="CM12" s="617"/>
      <c r="CN12" s="617"/>
      <c r="CO12" s="617"/>
      <c r="CP12" s="617"/>
      <c r="CQ12" s="617"/>
      <c r="CR12" s="617"/>
      <c r="CS12" s="617"/>
      <c r="CT12" s="617"/>
      <c r="CU12" s="617"/>
      <c r="CV12" s="119"/>
      <c r="CW12" s="119"/>
      <c r="CX12" s="119"/>
      <c r="CY12" s="119"/>
      <c r="CZ12" s="119"/>
      <c r="DA12" s="119"/>
      <c r="DB12" s="119"/>
      <c r="DC12" s="119"/>
      <c r="DD12" s="119"/>
      <c r="DE12" s="119"/>
      <c r="DF12" s="119"/>
      <c r="DG12" s="119"/>
      <c r="DH12" s="119"/>
      <c r="DI12" s="119"/>
      <c r="DJ12" s="119"/>
      <c r="DK12" s="119"/>
      <c r="DL12" s="119"/>
    </row>
    <row r="13" spans="1:116" s="118" customFormat="1" ht="12"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32"/>
      <c r="AW13" s="132"/>
      <c r="AX13" s="132"/>
      <c r="AY13" s="132"/>
      <c r="AZ13" s="132"/>
      <c r="BA13" s="132"/>
      <c r="BB13" s="132"/>
      <c r="BC13" s="133"/>
      <c r="BD13" s="133"/>
      <c r="BE13" s="133"/>
      <c r="BF13" s="133"/>
      <c r="BG13" s="133"/>
      <c r="BH13" s="133"/>
      <c r="BI13" s="133"/>
      <c r="BJ13" s="133"/>
      <c r="BK13" s="133"/>
      <c r="BL13" s="133"/>
      <c r="BM13" s="133"/>
      <c r="BN13" s="133"/>
      <c r="BO13" s="133"/>
      <c r="BP13" s="133"/>
      <c r="BQ13" s="623" t="s">
        <v>259</v>
      </c>
      <c r="BR13" s="623"/>
      <c r="BS13" s="623"/>
      <c r="BT13" s="623"/>
      <c r="BU13" s="623"/>
      <c r="BV13" s="623"/>
      <c r="BW13" s="623"/>
      <c r="BX13" s="623"/>
      <c r="BY13" s="623"/>
      <c r="BZ13" s="623"/>
      <c r="CA13" s="623"/>
      <c r="CB13" s="623"/>
      <c r="CC13" s="623"/>
      <c r="CD13" s="623"/>
      <c r="CE13" s="623"/>
      <c r="CF13" s="623"/>
      <c r="CG13" s="623"/>
      <c r="CH13" s="623"/>
      <c r="CI13" s="623"/>
      <c r="CJ13" s="623"/>
      <c r="CK13" s="623"/>
      <c r="CL13" s="623"/>
      <c r="CM13" s="623"/>
      <c r="CN13" s="623"/>
      <c r="CO13" s="623"/>
      <c r="CP13" s="623"/>
      <c r="CQ13" s="623"/>
      <c r="CR13" s="623"/>
      <c r="CS13" s="623"/>
      <c r="CT13" s="623"/>
      <c r="CU13" s="623"/>
      <c r="CV13" s="133"/>
      <c r="CW13" s="133"/>
      <c r="CX13" s="133"/>
      <c r="CY13" s="133"/>
      <c r="CZ13" s="133"/>
      <c r="DA13" s="133"/>
      <c r="DB13" s="133"/>
      <c r="DC13" s="133"/>
      <c r="DD13" s="133"/>
      <c r="DE13" s="133"/>
      <c r="DF13" s="133"/>
      <c r="DG13" s="133"/>
      <c r="DH13" s="133"/>
      <c r="DI13" s="133"/>
      <c r="DJ13" s="133"/>
      <c r="DK13" s="133"/>
      <c r="DL13" s="133"/>
    </row>
    <row r="14" spans="1:116" ht="15" customHeight="1">
      <c r="A14" s="156" t="s">
        <v>363</v>
      </c>
      <c r="B14" s="156"/>
      <c r="C14" s="156"/>
      <c r="D14" s="156"/>
      <c r="E14" s="156"/>
      <c r="F14" s="156"/>
      <c r="G14" s="156"/>
      <c r="H14" s="156"/>
      <c r="I14" s="156"/>
      <c r="J14" s="156"/>
      <c r="K14" s="156"/>
      <c r="L14" s="170"/>
      <c r="M14" s="170"/>
      <c r="N14" s="170"/>
      <c r="O14" s="170"/>
      <c r="P14" s="170"/>
      <c r="Q14" s="170"/>
      <c r="R14" s="170"/>
      <c r="S14" s="170"/>
      <c r="T14" s="171"/>
      <c r="U14" s="171"/>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32"/>
      <c r="AW14" s="132"/>
      <c r="AX14" s="132"/>
      <c r="AY14" s="132"/>
      <c r="AZ14" s="132"/>
      <c r="BA14" s="132"/>
      <c r="BB14" s="132"/>
      <c r="BC14" s="119"/>
      <c r="BD14" s="119"/>
      <c r="BE14" s="119"/>
      <c r="BF14" s="119"/>
      <c r="BG14" s="119"/>
      <c r="BH14" s="119"/>
      <c r="BI14" s="119"/>
      <c r="BJ14" s="119"/>
      <c r="BK14" s="119"/>
      <c r="BL14" s="119"/>
      <c r="BM14" s="119"/>
      <c r="BN14" s="119"/>
      <c r="BO14" s="119"/>
      <c r="BP14" s="119"/>
      <c r="BQ14" s="617" t="s">
        <v>831</v>
      </c>
      <c r="BR14" s="617"/>
      <c r="BS14" s="617"/>
      <c r="BT14" s="617"/>
      <c r="BU14" s="617"/>
      <c r="BV14" s="617"/>
      <c r="BW14" s="617"/>
      <c r="BX14" s="617"/>
      <c r="BY14" s="617"/>
      <c r="BZ14" s="617"/>
      <c r="CA14" s="617"/>
      <c r="CB14" s="617"/>
      <c r="CC14" s="617"/>
      <c r="CD14" s="617"/>
      <c r="CE14" s="617"/>
      <c r="CF14" s="617"/>
      <c r="CG14" s="617"/>
      <c r="CH14" s="617"/>
      <c r="CI14" s="617"/>
      <c r="CJ14" s="617"/>
      <c r="CK14" s="617"/>
      <c r="CL14" s="617"/>
      <c r="CM14" s="617"/>
      <c r="CN14" s="617"/>
      <c r="CO14" s="617"/>
      <c r="CP14" s="617"/>
      <c r="CQ14" s="617"/>
      <c r="CR14" s="617"/>
      <c r="CS14" s="617"/>
      <c r="CT14" s="617"/>
      <c r="CU14" s="617"/>
      <c r="CV14" s="119"/>
      <c r="CW14" s="119"/>
      <c r="CX14" s="119"/>
      <c r="CY14" s="119"/>
      <c r="CZ14" s="119"/>
      <c r="DA14" s="119"/>
      <c r="DB14" s="119"/>
      <c r="DC14" s="119"/>
      <c r="DD14" s="119"/>
      <c r="DE14" s="119"/>
      <c r="DF14" s="119"/>
      <c r="DG14" s="119"/>
      <c r="DH14" s="119"/>
      <c r="DI14" s="119"/>
      <c r="DJ14" s="119"/>
      <c r="DK14" s="119"/>
      <c r="DL14" s="119"/>
    </row>
    <row r="15" spans="1:116" s="118" customFormat="1" ht="12.75">
      <c r="A15" s="156" t="s">
        <v>364</v>
      </c>
      <c r="B15" s="156"/>
      <c r="C15" s="156"/>
      <c r="D15" s="156"/>
      <c r="E15" s="156"/>
      <c r="F15" s="156"/>
      <c r="G15" s="156"/>
      <c r="H15" s="156"/>
      <c r="I15" s="156"/>
      <c r="J15" s="156"/>
      <c r="K15" s="156"/>
      <c r="L15" s="175"/>
      <c r="M15" s="175"/>
      <c r="N15" s="175"/>
      <c r="O15" s="175"/>
      <c r="P15" s="175"/>
      <c r="Q15" s="175"/>
      <c r="R15" s="175"/>
      <c r="S15" s="175"/>
      <c r="T15" s="176"/>
      <c r="U15" s="176"/>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623" t="s">
        <v>260</v>
      </c>
      <c r="BR15" s="623"/>
      <c r="BS15" s="623"/>
      <c r="BT15" s="623"/>
      <c r="BU15" s="623"/>
      <c r="BV15" s="623"/>
      <c r="BW15" s="623"/>
      <c r="BX15" s="623"/>
      <c r="BY15" s="623"/>
      <c r="BZ15" s="623"/>
      <c r="CA15" s="623"/>
      <c r="CB15" s="623"/>
      <c r="CC15" s="623"/>
      <c r="CD15" s="623"/>
      <c r="CE15" s="623"/>
      <c r="CF15" s="623"/>
      <c r="CG15" s="623"/>
      <c r="CH15" s="623"/>
      <c r="CI15" s="623"/>
      <c r="CJ15" s="623"/>
      <c r="CK15" s="623"/>
      <c r="CL15" s="623"/>
      <c r="CM15" s="623"/>
      <c r="CN15" s="623"/>
      <c r="CO15" s="623"/>
      <c r="CP15" s="623"/>
      <c r="CQ15" s="623"/>
      <c r="CR15" s="623"/>
      <c r="CS15" s="623"/>
      <c r="CT15" s="623"/>
      <c r="CU15" s="623"/>
      <c r="CV15" s="133"/>
      <c r="CW15" s="133"/>
      <c r="CX15" s="133"/>
      <c r="CY15" s="133"/>
      <c r="CZ15" s="133"/>
      <c r="DA15" s="133"/>
      <c r="DB15" s="133"/>
      <c r="DC15" s="133"/>
      <c r="DD15" s="133"/>
      <c r="DE15" s="133"/>
      <c r="DF15" s="133"/>
      <c r="DG15" s="133"/>
      <c r="DH15" s="133"/>
      <c r="DI15" s="133"/>
      <c r="DJ15" s="133"/>
      <c r="DK15" s="133"/>
      <c r="DL15" s="133"/>
    </row>
    <row r="16" spans="1:116" ht="15" customHeight="1">
      <c r="A16" s="156" t="s">
        <v>365</v>
      </c>
      <c r="C16" s="156"/>
      <c r="D16" s="156"/>
      <c r="E16" s="168"/>
      <c r="F16" s="169"/>
      <c r="G16" s="169"/>
      <c r="H16" s="169"/>
      <c r="I16" s="169"/>
      <c r="J16" s="169"/>
      <c r="K16" s="169"/>
      <c r="L16" s="177"/>
      <c r="M16" s="177"/>
      <c r="N16" s="177"/>
      <c r="O16" s="177"/>
      <c r="P16" s="177"/>
      <c r="Q16" s="177"/>
      <c r="R16" s="177"/>
      <c r="S16" s="177"/>
      <c r="T16" s="178"/>
      <c r="U16" s="178"/>
      <c r="V16" s="151"/>
      <c r="W16" s="151"/>
      <c r="X16" s="151"/>
      <c r="Y16" s="151"/>
      <c r="Z16" s="158"/>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79"/>
      <c r="AW16" s="132"/>
      <c r="AX16" s="132"/>
      <c r="AY16" s="132"/>
      <c r="AZ16" s="132"/>
      <c r="BA16" s="132"/>
      <c r="BB16" s="132"/>
      <c r="BC16" s="119"/>
      <c r="BD16" s="119"/>
      <c r="BE16" s="119"/>
      <c r="BF16" s="119"/>
      <c r="BG16" s="119"/>
      <c r="BH16" s="119"/>
      <c r="BI16" s="119"/>
      <c r="BJ16" s="119"/>
      <c r="BK16" s="119"/>
      <c r="BL16" s="119"/>
      <c r="BM16" s="119"/>
      <c r="BN16" s="119"/>
      <c r="BO16" s="119"/>
      <c r="BP16" s="119"/>
      <c r="BQ16" s="617"/>
      <c r="BR16" s="617"/>
      <c r="BS16" s="617"/>
      <c r="BT16" s="617"/>
      <c r="BU16" s="617"/>
      <c r="BV16" s="617"/>
      <c r="BW16" s="617"/>
      <c r="BX16" s="617"/>
      <c r="BY16" s="617"/>
      <c r="BZ16" s="617"/>
      <c r="CA16" s="617"/>
      <c r="CB16" s="134"/>
      <c r="CC16" s="617" t="s">
        <v>1121</v>
      </c>
      <c r="CD16" s="617"/>
      <c r="CE16" s="617"/>
      <c r="CF16" s="617"/>
      <c r="CG16" s="617"/>
      <c r="CH16" s="617"/>
      <c r="CI16" s="617"/>
      <c r="CJ16" s="617"/>
      <c r="CK16" s="617"/>
      <c r="CL16" s="617"/>
      <c r="CM16" s="617"/>
      <c r="CN16" s="617"/>
      <c r="CO16" s="617"/>
      <c r="CP16" s="617"/>
      <c r="CQ16" s="617"/>
      <c r="CR16" s="617"/>
      <c r="CS16" s="617"/>
      <c r="CT16" s="617"/>
      <c r="CU16" s="617"/>
      <c r="CV16" s="119"/>
      <c r="CW16" s="119"/>
      <c r="CX16" s="119"/>
      <c r="CY16" s="119"/>
      <c r="CZ16" s="119"/>
      <c r="DA16" s="119"/>
      <c r="DB16" s="119"/>
      <c r="DC16" s="119"/>
      <c r="DD16" s="119"/>
      <c r="DE16" s="119"/>
      <c r="DF16" s="119"/>
      <c r="DG16" s="119"/>
      <c r="DH16" s="119"/>
      <c r="DI16" s="119"/>
      <c r="DJ16" s="119"/>
      <c r="DK16" s="119"/>
      <c r="DL16" s="119"/>
    </row>
    <row r="17" spans="1:116" s="118" customFormat="1" ht="12" customHeight="1">
      <c r="A17" s="156" t="s">
        <v>366</v>
      </c>
      <c r="B17" s="156"/>
      <c r="C17" s="156"/>
      <c r="D17" s="156"/>
      <c r="E17" s="156"/>
      <c r="F17" s="156"/>
      <c r="G17" s="156"/>
      <c r="H17" s="168"/>
      <c r="I17" s="169"/>
      <c r="J17" s="169"/>
      <c r="K17" s="169"/>
      <c r="L17" s="169"/>
      <c r="M17" s="169"/>
      <c r="N17" s="169"/>
      <c r="O17" s="169"/>
      <c r="P17" s="169"/>
      <c r="Q17" s="169"/>
      <c r="R17" s="169"/>
      <c r="S17" s="169"/>
      <c r="T17" s="153"/>
      <c r="U17" s="172"/>
      <c r="V17" s="147"/>
      <c r="W17" s="147"/>
      <c r="X17" s="147"/>
      <c r="Y17" s="147"/>
      <c r="Z17" s="152"/>
      <c r="AA17" s="153"/>
      <c r="AB17" s="153"/>
      <c r="AC17" s="153"/>
      <c r="AD17" s="153"/>
      <c r="AE17" s="153"/>
      <c r="AF17" s="153"/>
      <c r="AG17" s="153"/>
      <c r="AH17" s="153"/>
      <c r="AI17" s="153"/>
      <c r="AJ17" s="153"/>
      <c r="AK17" s="153"/>
      <c r="AL17" s="147"/>
      <c r="AM17" s="147"/>
      <c r="AN17" s="147"/>
      <c r="AO17" s="147"/>
      <c r="AP17" s="147"/>
      <c r="AQ17" s="147"/>
      <c r="AR17" s="147"/>
      <c r="AS17" s="147"/>
      <c r="AT17" s="147"/>
      <c r="AU17" s="147"/>
      <c r="AV17" s="132"/>
      <c r="AW17" s="132"/>
      <c r="AX17" s="132"/>
      <c r="AY17" s="132"/>
      <c r="AZ17" s="132"/>
      <c r="BA17" s="132"/>
      <c r="BB17" s="132"/>
      <c r="BC17" s="133"/>
      <c r="BD17" s="133"/>
      <c r="BE17" s="133"/>
      <c r="BF17" s="133"/>
      <c r="BG17" s="133"/>
      <c r="BH17" s="133"/>
      <c r="BI17" s="133"/>
      <c r="BJ17" s="133"/>
      <c r="BK17" s="133"/>
      <c r="BL17" s="133"/>
      <c r="BM17" s="133"/>
      <c r="BN17" s="133"/>
      <c r="BO17" s="133"/>
      <c r="BP17" s="133"/>
      <c r="BQ17" s="618" t="s">
        <v>1</v>
      </c>
      <c r="BR17" s="618"/>
      <c r="BS17" s="618"/>
      <c r="BT17" s="618"/>
      <c r="BU17" s="618"/>
      <c r="BV17" s="618"/>
      <c r="BW17" s="618"/>
      <c r="BX17" s="618"/>
      <c r="BY17" s="618"/>
      <c r="BZ17" s="618"/>
      <c r="CA17" s="618"/>
      <c r="CB17" s="157"/>
      <c r="CC17" s="618" t="s">
        <v>369</v>
      </c>
      <c r="CD17" s="618"/>
      <c r="CE17" s="618"/>
      <c r="CF17" s="618"/>
      <c r="CG17" s="618"/>
      <c r="CH17" s="618"/>
      <c r="CI17" s="618"/>
      <c r="CJ17" s="618"/>
      <c r="CK17" s="618"/>
      <c r="CL17" s="618"/>
      <c r="CM17" s="618"/>
      <c r="CN17" s="618"/>
      <c r="CO17" s="618"/>
      <c r="CP17" s="618"/>
      <c r="CQ17" s="618"/>
      <c r="CR17" s="618"/>
      <c r="CS17" s="618"/>
      <c r="CT17" s="618"/>
      <c r="CU17" s="618"/>
      <c r="CV17" s="133"/>
      <c r="CW17" s="133"/>
      <c r="CX17" s="133"/>
      <c r="CY17" s="133"/>
      <c r="CZ17" s="133"/>
      <c r="DA17" s="133"/>
      <c r="DB17" s="133"/>
      <c r="DC17" s="133"/>
      <c r="DD17" s="133"/>
      <c r="DE17" s="133"/>
      <c r="DF17" s="133"/>
      <c r="DG17" s="133"/>
      <c r="DH17" s="133"/>
      <c r="DI17" s="133"/>
      <c r="DJ17" s="133"/>
      <c r="DK17" s="133"/>
      <c r="DL17" s="133"/>
    </row>
    <row r="18" spans="1:116" ht="15" customHeight="1">
      <c r="A18" s="156" t="s">
        <v>367</v>
      </c>
      <c r="B18" s="156"/>
      <c r="C18" s="156"/>
      <c r="D18" s="156"/>
      <c r="E18" s="168"/>
      <c r="F18" s="169"/>
      <c r="G18" s="169"/>
      <c r="H18" s="169"/>
      <c r="I18" s="169"/>
      <c r="J18" s="156"/>
      <c r="K18" s="156"/>
      <c r="L18" s="177"/>
      <c r="M18" s="177"/>
      <c r="N18" s="177"/>
      <c r="O18" s="177"/>
      <c r="P18" s="177"/>
      <c r="Q18" s="177"/>
      <c r="R18" s="177"/>
      <c r="S18" s="177"/>
      <c r="T18" s="178"/>
      <c r="U18" s="178"/>
      <c r="V18" s="154"/>
      <c r="W18" s="154"/>
      <c r="X18" s="154"/>
      <c r="Y18" s="154"/>
      <c r="Z18" s="154"/>
      <c r="AA18" s="154"/>
      <c r="AB18" s="150"/>
      <c r="AC18" s="154"/>
      <c r="AD18" s="154"/>
      <c r="AE18" s="154"/>
      <c r="AF18" s="154"/>
      <c r="AG18" s="154"/>
      <c r="AH18" s="154"/>
      <c r="AI18" s="154"/>
      <c r="AJ18" s="154"/>
      <c r="AK18" s="154"/>
      <c r="AL18" s="154"/>
      <c r="AM18" s="119"/>
      <c r="AN18" s="119"/>
      <c r="AO18" s="119"/>
      <c r="AP18" s="119"/>
      <c r="AQ18" s="119"/>
      <c r="AR18" s="119"/>
      <c r="AS18" s="119"/>
      <c r="AT18" s="119"/>
      <c r="AU18" s="119"/>
      <c r="AV18" s="132"/>
      <c r="AW18" s="132"/>
      <c r="AX18" s="132"/>
      <c r="AY18" s="132"/>
      <c r="AZ18" s="132"/>
      <c r="BA18" s="132"/>
      <c r="BB18" s="132"/>
      <c r="BC18" s="119"/>
      <c r="BD18" s="119"/>
      <c r="BE18" s="119"/>
      <c r="BF18" s="119"/>
      <c r="BG18" s="119"/>
      <c r="BH18" s="119"/>
      <c r="BI18" s="119"/>
      <c r="BJ18" s="119"/>
      <c r="BK18" s="119"/>
      <c r="BL18" s="119"/>
      <c r="BM18" s="119"/>
      <c r="BN18" s="119"/>
      <c r="BO18" s="119"/>
      <c r="BP18" s="119"/>
      <c r="BQ18" s="137" t="s">
        <v>261</v>
      </c>
      <c r="BR18" s="619"/>
      <c r="BS18" s="619"/>
      <c r="BT18" s="619"/>
      <c r="BU18" s="119" t="s">
        <v>0</v>
      </c>
      <c r="BV18" s="119"/>
      <c r="BW18" s="619" t="s">
        <v>1127</v>
      </c>
      <c r="BX18" s="619"/>
      <c r="BY18" s="619"/>
      <c r="BZ18" s="619"/>
      <c r="CA18" s="619"/>
      <c r="CB18" s="619"/>
      <c r="CC18" s="619"/>
      <c r="CD18" s="619"/>
      <c r="CE18" s="619"/>
      <c r="CF18" s="619"/>
      <c r="CG18" s="619"/>
      <c r="CH18" s="620"/>
      <c r="CI18" s="620"/>
      <c r="CJ18" s="621" t="s">
        <v>841</v>
      </c>
      <c r="CK18" s="621"/>
      <c r="CL18" s="621"/>
      <c r="CM18" s="119" t="s">
        <v>262</v>
      </c>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row>
    <row r="19" spans="1:116" ht="15" customHeight="1">
      <c r="A19" s="156" t="s">
        <v>368</v>
      </c>
      <c r="B19" s="156"/>
      <c r="C19" s="156"/>
      <c r="D19" s="156"/>
      <c r="E19" s="161"/>
      <c r="F19" s="162"/>
      <c r="G19" s="162"/>
      <c r="H19" s="162"/>
      <c r="I19" s="162"/>
      <c r="J19" s="156"/>
      <c r="K19" s="163"/>
      <c r="L19" s="173"/>
      <c r="M19" s="173"/>
      <c r="N19" s="173"/>
      <c r="O19" s="173"/>
      <c r="P19" s="173"/>
      <c r="Q19" s="173"/>
      <c r="R19" s="173"/>
      <c r="S19" s="173"/>
      <c r="T19" s="174"/>
      <c r="U19" s="174"/>
      <c r="V19" s="149"/>
      <c r="W19" s="149"/>
      <c r="X19" s="149"/>
      <c r="Y19" s="149"/>
      <c r="Z19" s="149"/>
      <c r="AA19" s="149"/>
      <c r="AB19" s="148"/>
      <c r="AC19" s="149"/>
      <c r="AD19" s="149"/>
      <c r="AE19" s="149"/>
      <c r="AF19" s="149"/>
      <c r="AG19" s="149"/>
      <c r="AH19" s="149"/>
      <c r="AI19" s="149"/>
      <c r="AJ19" s="149"/>
      <c r="AK19" s="149"/>
      <c r="AL19" s="149"/>
      <c r="AM19" s="119"/>
      <c r="AN19" s="119"/>
      <c r="AO19" s="119"/>
      <c r="AP19" s="119"/>
      <c r="AQ19" s="119"/>
      <c r="AR19" s="119"/>
      <c r="AS19" s="119"/>
      <c r="AT19" s="119"/>
      <c r="AU19" s="119"/>
      <c r="AV19" s="132"/>
      <c r="AW19" s="132"/>
      <c r="AX19" s="132"/>
      <c r="AY19" s="132"/>
      <c r="AZ19" s="132"/>
      <c r="BA19" s="132"/>
      <c r="BB19" s="132"/>
      <c r="BC19" s="119"/>
      <c r="BD19" s="119"/>
      <c r="BE19" s="119"/>
      <c r="BF19" s="119"/>
      <c r="BG19" s="119"/>
      <c r="BH19" s="119"/>
      <c r="BI19" s="119"/>
      <c r="BJ19" s="119"/>
      <c r="BK19" s="119"/>
      <c r="BL19" s="119"/>
      <c r="BM19" s="119"/>
      <c r="BN19" s="119"/>
      <c r="BO19" s="119"/>
      <c r="BP19" s="119"/>
      <c r="BQ19" s="137"/>
      <c r="BR19" s="126"/>
      <c r="BS19" s="126"/>
      <c r="BT19" s="126"/>
      <c r="BU19" s="119"/>
      <c r="BV19" s="119"/>
      <c r="BW19" s="126"/>
      <c r="BX19" s="126"/>
      <c r="BY19" s="126"/>
      <c r="BZ19" s="126"/>
      <c r="CA19" s="126"/>
      <c r="CB19" s="126"/>
      <c r="CC19" s="126"/>
      <c r="CD19" s="126"/>
      <c r="CE19" s="126"/>
      <c r="CF19" s="126"/>
      <c r="CG19" s="126"/>
      <c r="CH19" s="137"/>
      <c r="CI19" s="137"/>
      <c r="CJ19" s="138"/>
      <c r="CK19" s="138"/>
      <c r="CL19" s="138"/>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row>
    <row r="20" spans="1:116" ht="15" customHeight="1">
      <c r="A20" s="156"/>
      <c r="B20" s="156"/>
      <c r="C20" s="156"/>
      <c r="D20" s="156"/>
      <c r="E20" s="161"/>
      <c r="F20" s="162"/>
      <c r="G20" s="162"/>
      <c r="H20" s="162"/>
      <c r="I20" s="162"/>
      <c r="J20" s="156"/>
      <c r="K20" s="166"/>
      <c r="L20" s="167"/>
      <c r="M20" s="167"/>
      <c r="N20" s="167"/>
      <c r="O20" s="167"/>
      <c r="P20" s="167"/>
      <c r="Q20" s="167"/>
      <c r="R20" s="167"/>
      <c r="S20" s="167"/>
      <c r="T20" s="136"/>
      <c r="U20" s="136"/>
      <c r="V20" s="136"/>
      <c r="W20" s="136"/>
      <c r="X20" s="136"/>
      <c r="Y20" s="136"/>
      <c r="Z20" s="136"/>
      <c r="AA20" s="136"/>
      <c r="AB20" s="135"/>
      <c r="AC20" s="136"/>
      <c r="AD20" s="136"/>
      <c r="AE20" s="136"/>
      <c r="AF20" s="136"/>
      <c r="AG20" s="136"/>
      <c r="AH20" s="136"/>
      <c r="AI20" s="136"/>
      <c r="AJ20" s="136"/>
      <c r="AK20" s="136"/>
      <c r="AL20" s="136"/>
      <c r="AM20" s="131"/>
      <c r="AN20" s="131"/>
      <c r="AO20" s="131"/>
      <c r="AP20" s="131"/>
      <c r="AQ20" s="131"/>
      <c r="AR20" s="131"/>
      <c r="AS20" s="131"/>
      <c r="AT20" s="131"/>
      <c r="AU20" s="131"/>
      <c r="AV20" s="132"/>
      <c r="AW20" s="132"/>
      <c r="AX20" s="132"/>
      <c r="AY20" s="132"/>
      <c r="AZ20" s="132"/>
      <c r="BA20" s="132"/>
      <c r="BB20" s="132"/>
      <c r="BC20" s="119"/>
      <c r="BD20" s="119"/>
      <c r="BE20" s="119"/>
      <c r="BF20" s="119"/>
      <c r="BG20" s="119"/>
      <c r="BH20" s="119"/>
      <c r="BI20" s="119"/>
      <c r="BJ20" s="119"/>
      <c r="BK20" s="119"/>
      <c r="BL20" s="119"/>
      <c r="BM20" s="119"/>
      <c r="BN20" s="119"/>
      <c r="BO20" s="119"/>
      <c r="BP20" s="119"/>
      <c r="BQ20" s="137"/>
      <c r="BR20" s="126"/>
      <c r="BS20" s="126"/>
      <c r="BT20" s="126"/>
      <c r="BU20" s="119"/>
      <c r="BV20" s="119"/>
      <c r="BW20" s="126"/>
      <c r="BX20" s="126"/>
      <c r="BY20" s="126"/>
      <c r="BZ20" s="126"/>
      <c r="CA20" s="126"/>
      <c r="CB20" s="126"/>
      <c r="CC20" s="126"/>
      <c r="CD20" s="126"/>
      <c r="CE20" s="126"/>
      <c r="CF20" s="126"/>
      <c r="CG20" s="126"/>
      <c r="CH20" s="137"/>
      <c r="CI20" s="137"/>
      <c r="CJ20" s="138"/>
      <c r="CK20" s="138"/>
      <c r="CL20" s="138"/>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row>
    <row r="21" spans="1:116" ht="15" customHeight="1">
      <c r="A21" s="155"/>
      <c r="B21" s="155"/>
      <c r="C21" s="155"/>
      <c r="D21" s="155"/>
      <c r="E21" s="164"/>
      <c r="F21" s="165"/>
      <c r="G21" s="165"/>
      <c r="H21" s="165"/>
      <c r="I21" s="165"/>
      <c r="J21" s="155"/>
      <c r="K21" s="166"/>
      <c r="L21" s="167"/>
      <c r="M21" s="167"/>
      <c r="N21" s="167"/>
      <c r="O21" s="167"/>
      <c r="P21" s="167"/>
      <c r="Q21" s="167"/>
      <c r="R21" s="167"/>
      <c r="S21" s="167"/>
      <c r="T21" s="136"/>
      <c r="U21" s="136"/>
      <c r="V21" s="136"/>
      <c r="W21" s="136"/>
      <c r="X21" s="136"/>
      <c r="Y21" s="136"/>
      <c r="Z21" s="136"/>
      <c r="AA21" s="136"/>
      <c r="AB21" s="135"/>
      <c r="AC21" s="136"/>
      <c r="AD21" s="630" t="s">
        <v>359</v>
      </c>
      <c r="AE21" s="631"/>
      <c r="AF21" s="631"/>
      <c r="AG21" s="631"/>
      <c r="AH21" s="631"/>
      <c r="AI21" s="631"/>
      <c r="AJ21" s="631"/>
      <c r="AK21" s="631"/>
      <c r="AL21" s="631"/>
      <c r="AM21" s="631"/>
      <c r="AN21" s="631"/>
      <c r="AO21" s="631"/>
      <c r="AP21" s="631"/>
      <c r="AQ21" s="631"/>
      <c r="AR21" s="631"/>
      <c r="AS21" s="631"/>
      <c r="AT21" s="631"/>
      <c r="AU21" s="631"/>
      <c r="AV21" s="631"/>
      <c r="AW21" s="631"/>
      <c r="AX21" s="631"/>
      <c r="AY21" s="631"/>
      <c r="AZ21" s="631"/>
      <c r="BA21" s="631"/>
      <c r="BB21" s="631"/>
      <c r="BC21" s="631"/>
      <c r="BD21" s="631"/>
      <c r="BE21" s="631"/>
      <c r="BF21" s="631"/>
      <c r="BG21" s="631"/>
      <c r="BH21" s="631"/>
      <c r="BI21" s="631"/>
      <c r="BJ21" s="631"/>
      <c r="BK21" s="631"/>
      <c r="BL21" s="631"/>
      <c r="BM21" s="631"/>
      <c r="BN21" s="631"/>
      <c r="BO21" s="631"/>
      <c r="BP21" s="631"/>
      <c r="BQ21" s="631"/>
      <c r="BR21" s="631"/>
      <c r="BS21" s="631"/>
      <c r="BT21" s="631"/>
      <c r="BU21" s="119"/>
      <c r="BV21" s="119"/>
      <c r="BW21" s="126"/>
      <c r="BX21" s="126"/>
      <c r="BY21" s="126"/>
      <c r="BZ21" s="126"/>
      <c r="CA21" s="126"/>
      <c r="CB21" s="126"/>
      <c r="CC21" s="126"/>
      <c r="CD21" s="126"/>
      <c r="CE21" s="126"/>
      <c r="CF21" s="126"/>
      <c r="CG21" s="126"/>
      <c r="CH21" s="137"/>
      <c r="CI21" s="137"/>
      <c r="CJ21" s="138"/>
      <c r="CK21" s="138"/>
      <c r="CL21" s="138"/>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row>
    <row r="22" spans="1:116" ht="18.75">
      <c r="A22" s="155"/>
      <c r="B22" s="155"/>
      <c r="C22" s="155"/>
      <c r="D22" s="155"/>
      <c r="E22" s="164"/>
      <c r="F22" s="165"/>
      <c r="G22" s="165"/>
      <c r="H22" s="165"/>
      <c r="I22" s="165"/>
      <c r="J22" s="155"/>
      <c r="K22" s="166"/>
      <c r="L22" s="167"/>
      <c r="M22" s="167"/>
      <c r="N22" s="167"/>
      <c r="O22" s="167"/>
      <c r="P22" s="167"/>
      <c r="Q22" s="167"/>
      <c r="R22" s="167"/>
      <c r="S22" s="167"/>
      <c r="T22" s="136"/>
      <c r="U22" s="136"/>
      <c r="V22" s="136"/>
      <c r="W22" s="136"/>
      <c r="X22" s="131"/>
      <c r="Y22" s="131"/>
      <c r="Z22" s="131"/>
      <c r="AA22" s="131"/>
      <c r="AB22" s="135"/>
      <c r="AC22" s="136"/>
      <c r="AD22" s="139"/>
      <c r="AE22" s="139"/>
      <c r="AF22" s="139"/>
      <c r="AG22" s="139"/>
      <c r="AH22" s="139"/>
      <c r="AI22" s="120" t="s">
        <v>263</v>
      </c>
      <c r="AJ22" s="632" t="s">
        <v>355</v>
      </c>
      <c r="AK22" s="632"/>
      <c r="AL22" s="632"/>
      <c r="AM22" s="139"/>
      <c r="AN22" s="139"/>
      <c r="AO22" s="139"/>
      <c r="AP22" s="139"/>
      <c r="AQ22" s="139"/>
      <c r="AR22" s="139"/>
      <c r="AS22" s="139"/>
      <c r="AT22" s="139"/>
      <c r="AU22" s="139"/>
      <c r="AV22" s="139"/>
      <c r="AW22" s="139"/>
      <c r="AX22" s="139"/>
      <c r="AY22" s="139"/>
      <c r="AZ22" s="139"/>
      <c r="BA22" s="139"/>
      <c r="BB22" s="139"/>
      <c r="BC22" s="139"/>
      <c r="BD22" s="140" t="s">
        <v>264</v>
      </c>
      <c r="BE22" s="632" t="s">
        <v>357</v>
      </c>
      <c r="BF22" s="632"/>
      <c r="BG22" s="632"/>
      <c r="BH22" s="139" t="s">
        <v>265</v>
      </c>
      <c r="BI22" s="139"/>
      <c r="BJ22" s="139"/>
      <c r="BK22" s="632" t="s">
        <v>358</v>
      </c>
      <c r="BL22" s="632"/>
      <c r="BM22" s="632"/>
      <c r="BN22" s="139" t="s">
        <v>266</v>
      </c>
      <c r="BO22" s="139"/>
      <c r="BP22" s="139"/>
      <c r="BQ22" s="139"/>
      <c r="BR22" s="139"/>
      <c r="BS22" s="139" t="s">
        <v>226</v>
      </c>
      <c r="BT22" s="141"/>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row>
    <row r="23" spans="1:116" ht="15.75">
      <c r="A23" s="155"/>
      <c r="B23" s="155"/>
      <c r="C23" s="155"/>
      <c r="D23" s="155"/>
      <c r="E23" s="164"/>
      <c r="F23" s="165"/>
      <c r="G23" s="165"/>
      <c r="H23" s="165"/>
      <c r="I23" s="165"/>
      <c r="J23" s="155"/>
      <c r="K23" s="166"/>
      <c r="L23" s="167"/>
      <c r="M23" s="167"/>
      <c r="N23" s="167"/>
      <c r="O23" s="167"/>
      <c r="P23" s="167"/>
      <c r="Q23" s="167"/>
      <c r="R23" s="167"/>
      <c r="S23" s="167"/>
      <c r="T23" s="136"/>
      <c r="U23" s="136"/>
      <c r="V23" s="136"/>
      <c r="W23" s="136"/>
      <c r="X23" s="131"/>
      <c r="Y23" s="131"/>
      <c r="Z23" s="131"/>
      <c r="AA23" s="131"/>
      <c r="AB23" s="135"/>
      <c r="AC23" s="136"/>
      <c r="AD23" s="139"/>
      <c r="AE23" s="139"/>
      <c r="AF23" s="139"/>
      <c r="AG23" s="139"/>
      <c r="AH23" s="139"/>
      <c r="AI23" s="120"/>
      <c r="AJ23" s="142"/>
      <c r="AK23" s="142"/>
      <c r="AL23" s="142"/>
      <c r="AM23" s="139"/>
      <c r="AN23" s="139"/>
      <c r="AO23" s="139"/>
      <c r="AP23" s="139"/>
      <c r="AQ23" s="139"/>
      <c r="AR23" s="139"/>
      <c r="AS23" s="139"/>
      <c r="AT23" s="139"/>
      <c r="AU23" s="139"/>
      <c r="AV23" s="139"/>
      <c r="AW23" s="139"/>
      <c r="AX23" s="139"/>
      <c r="AY23" s="139"/>
      <c r="AZ23" s="139"/>
      <c r="BA23" s="139"/>
      <c r="BB23" s="139"/>
      <c r="BC23" s="139"/>
      <c r="BD23" s="140"/>
      <c r="BE23" s="142"/>
      <c r="BF23" s="142"/>
      <c r="BG23" s="142"/>
      <c r="BH23" s="139"/>
      <c r="BI23" s="139"/>
      <c r="BJ23" s="139"/>
      <c r="BK23" s="142"/>
      <c r="BL23" s="142"/>
      <c r="BM23" s="142"/>
      <c r="BN23" s="139"/>
      <c r="BO23" s="139"/>
      <c r="BP23" s="139"/>
      <c r="BQ23" s="139"/>
      <c r="BR23" s="139"/>
      <c r="BS23" s="139"/>
      <c r="BT23" s="141"/>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row>
    <row r="24" spans="1:116" s="4" customFormat="1" ht="15.75" customHeight="1">
      <c r="A24" s="155"/>
      <c r="B24" s="155"/>
      <c r="C24" s="155"/>
      <c r="D24" s="155"/>
      <c r="E24" s="624"/>
      <c r="F24" s="625"/>
      <c r="G24" s="625"/>
      <c r="H24" s="625"/>
      <c r="I24" s="625"/>
      <c r="J24" s="625"/>
      <c r="K24" s="625"/>
      <c r="L24" s="625"/>
      <c r="M24" s="167"/>
      <c r="N24" s="167"/>
      <c r="O24" s="167"/>
      <c r="P24" s="167"/>
      <c r="Q24" s="167"/>
      <c r="R24" s="167"/>
      <c r="S24" s="167"/>
      <c r="T24" s="136"/>
      <c r="U24" s="136"/>
      <c r="V24" s="136"/>
      <c r="W24" s="136"/>
      <c r="X24" s="131"/>
      <c r="Y24" s="131"/>
      <c r="Z24" s="131"/>
      <c r="AA24" s="131"/>
      <c r="AB24" s="135"/>
      <c r="AC24" s="136"/>
      <c r="AD24" s="119"/>
      <c r="AE24" s="119"/>
      <c r="AF24" s="119"/>
      <c r="AG24" s="119"/>
      <c r="AH24" s="119"/>
      <c r="AI24" s="119"/>
      <c r="AJ24" s="119"/>
      <c r="AK24" s="119"/>
      <c r="AL24" s="119"/>
      <c r="AM24" s="137" t="s">
        <v>267</v>
      </c>
      <c r="AN24" s="619"/>
      <c r="AO24" s="619"/>
      <c r="AP24" s="619"/>
      <c r="AQ24" s="119" t="s">
        <v>0</v>
      </c>
      <c r="AR24" s="119"/>
      <c r="AS24" s="619" t="s">
        <v>1127</v>
      </c>
      <c r="AT24" s="619"/>
      <c r="AU24" s="619"/>
      <c r="AV24" s="619"/>
      <c r="AW24" s="619"/>
      <c r="AX24" s="619"/>
      <c r="AY24" s="619"/>
      <c r="AZ24" s="619"/>
      <c r="BA24" s="619"/>
      <c r="BB24" s="619"/>
      <c r="BC24" s="619"/>
      <c r="BD24" s="620"/>
      <c r="BE24" s="620"/>
      <c r="BF24" s="621" t="s">
        <v>841</v>
      </c>
      <c r="BG24" s="621"/>
      <c r="BH24" s="621"/>
      <c r="BI24" s="119" t="s">
        <v>268</v>
      </c>
      <c r="BJ24" s="119"/>
      <c r="BK24" s="119"/>
      <c r="BL24" s="119"/>
      <c r="BM24" s="119"/>
      <c r="BN24" s="119"/>
      <c r="BO24" s="119"/>
      <c r="BP24" s="119"/>
      <c r="BQ24" s="119"/>
      <c r="BR24" s="119"/>
      <c r="BS24" s="119"/>
      <c r="BT24" s="119"/>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39"/>
      <c r="CW24" s="139"/>
      <c r="CX24" s="139"/>
      <c r="CY24" s="139"/>
      <c r="CZ24" s="139"/>
      <c r="DA24" s="139"/>
      <c r="DB24" s="139"/>
      <c r="DC24" s="139"/>
      <c r="DD24" s="139"/>
      <c r="DE24" s="139"/>
      <c r="DF24" s="139"/>
      <c r="DG24" s="139"/>
      <c r="DH24" s="139"/>
      <c r="DI24" s="139"/>
      <c r="DJ24" s="139"/>
      <c r="DK24" s="139"/>
      <c r="DL24" s="139"/>
    </row>
    <row r="25" spans="1:116" s="4" customFormat="1" ht="15.75"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41"/>
      <c r="BV25" s="141"/>
      <c r="BW25" s="141"/>
      <c r="BX25" s="141"/>
      <c r="BY25" s="141"/>
      <c r="BZ25" s="141"/>
      <c r="CA25" s="141"/>
      <c r="CB25" s="141"/>
      <c r="CC25" s="141"/>
      <c r="CD25" s="141"/>
      <c r="CE25" s="141"/>
      <c r="CF25" s="141"/>
      <c r="CG25" s="141"/>
      <c r="CH25" s="641" t="s">
        <v>269</v>
      </c>
      <c r="CI25" s="618"/>
      <c r="CJ25" s="618"/>
      <c r="CK25" s="618"/>
      <c r="CL25" s="618"/>
      <c r="CM25" s="618"/>
      <c r="CN25" s="618"/>
      <c r="CO25" s="618"/>
      <c r="CP25" s="618"/>
      <c r="CQ25" s="618"/>
      <c r="CR25" s="618"/>
      <c r="CS25" s="618"/>
      <c r="CT25" s="618"/>
      <c r="CU25" s="642"/>
      <c r="CV25" s="139"/>
      <c r="CW25" s="139"/>
      <c r="CX25" s="139"/>
      <c r="CY25" s="139"/>
      <c r="CZ25" s="139"/>
      <c r="DA25" s="139"/>
      <c r="DB25" s="139"/>
      <c r="DC25" s="139"/>
      <c r="DD25" s="139"/>
      <c r="DE25" s="139"/>
      <c r="DF25" s="139"/>
      <c r="DG25" s="139"/>
      <c r="DH25" s="139"/>
      <c r="DI25" s="139"/>
      <c r="DJ25" s="139"/>
      <c r="DK25" s="139"/>
      <c r="DL25" s="139"/>
    </row>
    <row r="26" spans="2:116" ht="9.75" customHeight="1" thickBot="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643"/>
      <c r="CI26" s="644"/>
      <c r="CJ26" s="644"/>
      <c r="CK26" s="644"/>
      <c r="CL26" s="644"/>
      <c r="CM26" s="644"/>
      <c r="CN26" s="644"/>
      <c r="CO26" s="644"/>
      <c r="CP26" s="644"/>
      <c r="CQ26" s="644"/>
      <c r="CR26" s="644"/>
      <c r="CS26" s="644"/>
      <c r="CT26" s="644"/>
      <c r="CU26" s="645"/>
      <c r="CV26" s="119"/>
      <c r="CW26" s="119"/>
      <c r="CX26" s="119"/>
      <c r="CY26" s="119"/>
      <c r="CZ26" s="119"/>
      <c r="DA26" s="119"/>
      <c r="DB26" s="119"/>
      <c r="DC26" s="119"/>
      <c r="DD26" s="119"/>
      <c r="DE26" s="119"/>
      <c r="DF26" s="119"/>
      <c r="DG26" s="119"/>
      <c r="DH26" s="119"/>
      <c r="DI26" s="119"/>
      <c r="DJ26" s="119"/>
      <c r="DK26" s="119"/>
      <c r="DL26" s="119"/>
    </row>
    <row r="27" spans="2:116" ht="15" customHeight="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37" t="s">
        <v>270</v>
      </c>
      <c r="CG27" s="119"/>
      <c r="CH27" s="646"/>
      <c r="CI27" s="647"/>
      <c r="CJ27" s="647"/>
      <c r="CK27" s="647"/>
      <c r="CL27" s="647"/>
      <c r="CM27" s="647"/>
      <c r="CN27" s="647"/>
      <c r="CO27" s="647"/>
      <c r="CP27" s="647"/>
      <c r="CQ27" s="647"/>
      <c r="CR27" s="647"/>
      <c r="CS27" s="647"/>
      <c r="CT27" s="647"/>
      <c r="CU27" s="648"/>
      <c r="CV27" s="119"/>
      <c r="CW27" s="119"/>
      <c r="CX27" s="119"/>
      <c r="CY27" s="119"/>
      <c r="CZ27" s="119"/>
      <c r="DA27" s="119"/>
      <c r="DB27" s="119"/>
      <c r="DC27" s="119"/>
      <c r="DD27" s="119"/>
      <c r="DE27" s="119"/>
      <c r="DF27" s="119"/>
      <c r="DG27" s="119"/>
      <c r="DH27" s="119"/>
      <c r="DI27" s="119"/>
      <c r="DJ27" s="119"/>
      <c r="DK27" s="119"/>
      <c r="DL27" s="119"/>
    </row>
    <row r="28" spans="1:116" ht="15" customHeight="1">
      <c r="A28" s="119" t="s">
        <v>271</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37" t="s">
        <v>272</v>
      </c>
      <c r="CG28" s="119"/>
      <c r="CH28" s="627"/>
      <c r="CI28" s="628"/>
      <c r="CJ28" s="628"/>
      <c r="CK28" s="628"/>
      <c r="CL28" s="628"/>
      <c r="CM28" s="628"/>
      <c r="CN28" s="628"/>
      <c r="CO28" s="628"/>
      <c r="CP28" s="628"/>
      <c r="CQ28" s="628"/>
      <c r="CR28" s="628"/>
      <c r="CS28" s="628"/>
      <c r="CT28" s="628"/>
      <c r="CU28" s="629"/>
      <c r="CV28" s="119"/>
      <c r="CW28" s="119"/>
      <c r="CX28" s="119"/>
      <c r="CY28" s="119"/>
      <c r="CZ28" s="119"/>
      <c r="DA28" s="119"/>
      <c r="DB28" s="119"/>
      <c r="DC28" s="119"/>
      <c r="DD28" s="119"/>
      <c r="DE28" s="119"/>
      <c r="DF28" s="119"/>
      <c r="DG28" s="119"/>
      <c r="DH28" s="119"/>
      <c r="DI28" s="119"/>
      <c r="DJ28" s="119"/>
      <c r="DK28" s="119"/>
      <c r="DL28" s="119"/>
    </row>
    <row r="29" spans="1:116" ht="15" customHeight="1">
      <c r="A29" s="119" t="s">
        <v>273</v>
      </c>
      <c r="B29" s="119"/>
      <c r="C29" s="119"/>
      <c r="D29" s="119"/>
      <c r="E29" s="119"/>
      <c r="F29" s="119"/>
      <c r="G29" s="119"/>
      <c r="H29" s="119"/>
      <c r="I29" s="119"/>
      <c r="J29" s="119"/>
      <c r="K29" s="119"/>
      <c r="L29" s="119"/>
      <c r="M29" s="119"/>
      <c r="N29" s="119"/>
      <c r="O29" s="119"/>
      <c r="P29" s="119"/>
      <c r="Q29" s="119"/>
      <c r="R29" s="119"/>
      <c r="S29" s="119"/>
      <c r="T29" s="119"/>
      <c r="U29" s="626" t="s">
        <v>356</v>
      </c>
      <c r="V29" s="626"/>
      <c r="W29" s="626"/>
      <c r="X29" s="626"/>
      <c r="Y29" s="626"/>
      <c r="Z29" s="626"/>
      <c r="AA29" s="626"/>
      <c r="AB29" s="626"/>
      <c r="AC29" s="626"/>
      <c r="AD29" s="626"/>
      <c r="AE29" s="626"/>
      <c r="AF29" s="626"/>
      <c r="AG29" s="626"/>
      <c r="AH29" s="626"/>
      <c r="AI29" s="626"/>
      <c r="AJ29" s="626"/>
      <c r="AK29" s="626"/>
      <c r="AL29" s="626"/>
      <c r="AM29" s="626"/>
      <c r="AN29" s="626"/>
      <c r="AO29" s="626"/>
      <c r="AP29" s="626"/>
      <c r="AQ29" s="626"/>
      <c r="AR29" s="626"/>
      <c r="AS29" s="626"/>
      <c r="AT29" s="626"/>
      <c r="AU29" s="626"/>
      <c r="AV29" s="626"/>
      <c r="AW29" s="626"/>
      <c r="AX29" s="626"/>
      <c r="AY29" s="626"/>
      <c r="AZ29" s="626"/>
      <c r="BA29" s="626"/>
      <c r="BB29" s="626"/>
      <c r="BC29" s="626"/>
      <c r="BD29" s="626"/>
      <c r="BE29" s="626"/>
      <c r="BF29" s="626"/>
      <c r="BG29" s="626"/>
      <c r="BH29" s="626"/>
      <c r="BI29" s="626"/>
      <c r="BJ29" s="626"/>
      <c r="BK29" s="626"/>
      <c r="BL29" s="626"/>
      <c r="BM29" s="626"/>
      <c r="BN29" s="626"/>
      <c r="BO29" s="626"/>
      <c r="BP29" s="626"/>
      <c r="BQ29" s="626"/>
      <c r="BR29" s="626"/>
      <c r="BS29" s="626"/>
      <c r="BT29" s="119"/>
      <c r="BU29" s="119"/>
      <c r="BV29" s="119"/>
      <c r="BW29" s="119"/>
      <c r="BX29" s="119"/>
      <c r="BY29" s="119"/>
      <c r="BZ29" s="119"/>
      <c r="CA29" s="119"/>
      <c r="CB29" s="119"/>
      <c r="CC29" s="119"/>
      <c r="CD29" s="119"/>
      <c r="CE29" s="119"/>
      <c r="CF29" s="137" t="s">
        <v>274</v>
      </c>
      <c r="CG29" s="119"/>
      <c r="CH29" s="627"/>
      <c r="CI29" s="628"/>
      <c r="CJ29" s="628"/>
      <c r="CK29" s="628"/>
      <c r="CL29" s="628"/>
      <c r="CM29" s="628"/>
      <c r="CN29" s="628"/>
      <c r="CO29" s="628"/>
      <c r="CP29" s="628"/>
      <c r="CQ29" s="628"/>
      <c r="CR29" s="628"/>
      <c r="CS29" s="628"/>
      <c r="CT29" s="628"/>
      <c r="CU29" s="629"/>
      <c r="CV29" s="119"/>
      <c r="CW29" s="119"/>
      <c r="CX29" s="119"/>
      <c r="CY29" s="119"/>
      <c r="CZ29" s="119"/>
      <c r="DA29" s="119"/>
      <c r="DB29" s="119"/>
      <c r="DC29" s="119"/>
      <c r="DD29" s="119"/>
      <c r="DE29" s="119"/>
      <c r="DF29" s="119"/>
      <c r="DG29" s="119"/>
      <c r="DH29" s="119"/>
      <c r="DI29" s="119"/>
      <c r="DJ29" s="119"/>
      <c r="DK29" s="119"/>
      <c r="DL29" s="119"/>
    </row>
    <row r="30" spans="2:116" ht="15" customHeight="1">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19"/>
      <c r="BU30" s="119"/>
      <c r="BV30" s="119"/>
      <c r="BW30" s="119"/>
      <c r="BX30" s="119"/>
      <c r="BY30" s="119"/>
      <c r="BZ30" s="119"/>
      <c r="CA30" s="119"/>
      <c r="CB30" s="119"/>
      <c r="CC30" s="119"/>
      <c r="CD30" s="119"/>
      <c r="CE30" s="119"/>
      <c r="CF30" s="137" t="s">
        <v>272</v>
      </c>
      <c r="CG30" s="119"/>
      <c r="CH30" s="627"/>
      <c r="CI30" s="628"/>
      <c r="CJ30" s="628"/>
      <c r="CK30" s="628"/>
      <c r="CL30" s="628"/>
      <c r="CM30" s="628"/>
      <c r="CN30" s="628"/>
      <c r="CO30" s="628"/>
      <c r="CP30" s="628"/>
      <c r="CQ30" s="628"/>
      <c r="CR30" s="628"/>
      <c r="CS30" s="628"/>
      <c r="CT30" s="628"/>
      <c r="CU30" s="629"/>
      <c r="CV30" s="119"/>
      <c r="CW30" s="119"/>
      <c r="CX30" s="119"/>
      <c r="CY30" s="119"/>
      <c r="CZ30" s="119"/>
      <c r="DA30" s="119"/>
      <c r="DB30" s="119"/>
      <c r="DC30" s="119"/>
      <c r="DD30" s="119"/>
      <c r="DE30" s="119"/>
      <c r="DF30" s="119"/>
      <c r="DG30" s="119"/>
      <c r="DH30" s="119"/>
      <c r="DI30" s="119"/>
      <c r="DJ30" s="119"/>
      <c r="DK30" s="119"/>
      <c r="DL30" s="119"/>
    </row>
    <row r="31" spans="2:116" ht="15" customHeight="1">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19"/>
      <c r="BU31" s="119"/>
      <c r="BV31" s="119"/>
      <c r="BW31" s="119"/>
      <c r="BX31" s="119"/>
      <c r="BY31" s="119"/>
      <c r="BZ31" s="119"/>
      <c r="CA31" s="119"/>
      <c r="CB31" s="119"/>
      <c r="CC31" s="119"/>
      <c r="CD31" s="119"/>
      <c r="CE31" s="119"/>
      <c r="CF31" s="137" t="s">
        <v>275</v>
      </c>
      <c r="CG31" s="119"/>
      <c r="CH31" s="627" t="s">
        <v>839</v>
      </c>
      <c r="CI31" s="628"/>
      <c r="CJ31" s="628"/>
      <c r="CK31" s="628"/>
      <c r="CL31" s="628"/>
      <c r="CM31" s="628"/>
      <c r="CN31" s="628"/>
      <c r="CO31" s="628"/>
      <c r="CP31" s="628"/>
      <c r="CQ31" s="628"/>
      <c r="CR31" s="628"/>
      <c r="CS31" s="628"/>
      <c r="CT31" s="628"/>
      <c r="CU31" s="629"/>
      <c r="CV31" s="119"/>
      <c r="CW31" s="119"/>
      <c r="CX31" s="119"/>
      <c r="CY31" s="119"/>
      <c r="CZ31" s="119"/>
      <c r="DA31" s="119"/>
      <c r="DB31" s="119"/>
      <c r="DC31" s="119"/>
      <c r="DD31" s="119"/>
      <c r="DE31" s="119"/>
      <c r="DF31" s="119"/>
      <c r="DG31" s="119"/>
      <c r="DH31" s="119"/>
      <c r="DI31" s="119"/>
      <c r="DJ31" s="119"/>
      <c r="DK31" s="119"/>
      <c r="DL31" s="119"/>
    </row>
    <row r="32" spans="1:116" ht="15" customHeight="1">
      <c r="A32" s="119" t="s">
        <v>276</v>
      </c>
      <c r="B32" s="119"/>
      <c r="C32" s="119"/>
      <c r="D32" s="119"/>
      <c r="E32" s="119"/>
      <c r="F32" s="119"/>
      <c r="G32" s="119"/>
      <c r="H32" s="119"/>
      <c r="I32" s="637" t="s">
        <v>831</v>
      </c>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637"/>
      <c r="AM32" s="637"/>
      <c r="AN32" s="637"/>
      <c r="AO32" s="637"/>
      <c r="AP32" s="637"/>
      <c r="AQ32" s="637"/>
      <c r="AR32" s="637"/>
      <c r="AS32" s="637"/>
      <c r="AT32" s="637"/>
      <c r="AU32" s="637"/>
      <c r="AV32" s="637"/>
      <c r="AW32" s="637"/>
      <c r="AX32" s="637"/>
      <c r="AY32" s="637"/>
      <c r="AZ32" s="637"/>
      <c r="BA32" s="637"/>
      <c r="BB32" s="637"/>
      <c r="BC32" s="637"/>
      <c r="BD32" s="637"/>
      <c r="BE32" s="637"/>
      <c r="BF32" s="637"/>
      <c r="BG32" s="637"/>
      <c r="BH32" s="637"/>
      <c r="BI32" s="637"/>
      <c r="BJ32" s="637"/>
      <c r="BK32" s="637"/>
      <c r="BL32" s="637"/>
      <c r="BM32" s="637"/>
      <c r="BN32" s="637"/>
      <c r="BO32" s="637"/>
      <c r="BP32" s="637"/>
      <c r="BQ32" s="637"/>
      <c r="BR32" s="637"/>
      <c r="BS32" s="637"/>
      <c r="BT32" s="119"/>
      <c r="BU32" s="119"/>
      <c r="BV32" s="119"/>
      <c r="BW32" s="119"/>
      <c r="BX32" s="119"/>
      <c r="BY32" s="119"/>
      <c r="BZ32" s="119"/>
      <c r="CA32" s="119"/>
      <c r="CB32" s="119"/>
      <c r="CC32" s="119"/>
      <c r="CD32" s="119"/>
      <c r="CE32" s="119"/>
      <c r="CF32" s="137" t="s">
        <v>277</v>
      </c>
      <c r="CG32" s="119"/>
      <c r="CH32" s="627" t="s">
        <v>840</v>
      </c>
      <c r="CI32" s="628"/>
      <c r="CJ32" s="628"/>
      <c r="CK32" s="628"/>
      <c r="CL32" s="628"/>
      <c r="CM32" s="628"/>
      <c r="CN32" s="628"/>
      <c r="CO32" s="628"/>
      <c r="CP32" s="628"/>
      <c r="CQ32" s="628"/>
      <c r="CR32" s="628"/>
      <c r="CS32" s="628"/>
      <c r="CT32" s="628"/>
      <c r="CU32" s="629"/>
      <c r="CV32" s="119"/>
      <c r="CW32" s="119"/>
      <c r="CX32" s="119"/>
      <c r="CY32" s="119"/>
      <c r="CZ32" s="119"/>
      <c r="DA32" s="119"/>
      <c r="DB32" s="119"/>
      <c r="DC32" s="119"/>
      <c r="DD32" s="119"/>
      <c r="DE32" s="119"/>
      <c r="DF32" s="119"/>
      <c r="DG32" s="119"/>
      <c r="DH32" s="119"/>
      <c r="DI32" s="119"/>
      <c r="DJ32" s="119"/>
      <c r="DK32" s="119"/>
      <c r="DL32" s="119"/>
    </row>
    <row r="33" spans="15:116" ht="15" customHeight="1" thickBot="1">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37" t="s">
        <v>279</v>
      </c>
      <c r="CG33" s="119"/>
      <c r="CH33" s="638"/>
      <c r="CI33" s="639"/>
      <c r="CJ33" s="639"/>
      <c r="CK33" s="639"/>
      <c r="CL33" s="639"/>
      <c r="CM33" s="639"/>
      <c r="CN33" s="639"/>
      <c r="CO33" s="639"/>
      <c r="CP33" s="639"/>
      <c r="CQ33" s="639"/>
      <c r="CR33" s="639"/>
      <c r="CS33" s="639"/>
      <c r="CT33" s="639"/>
      <c r="CU33" s="640"/>
      <c r="CV33" s="119"/>
      <c r="CW33" s="119"/>
      <c r="CX33" s="119"/>
      <c r="CY33" s="119"/>
      <c r="CZ33" s="119"/>
      <c r="DA33" s="119"/>
      <c r="DB33" s="119"/>
      <c r="DC33" s="119"/>
      <c r="DD33" s="119"/>
      <c r="DE33" s="119"/>
      <c r="DF33" s="119"/>
      <c r="DG33" s="119"/>
      <c r="DH33" s="119"/>
      <c r="DI33" s="119"/>
      <c r="DJ33" s="119"/>
      <c r="DK33" s="119"/>
      <c r="DL33" s="119"/>
    </row>
    <row r="34" spans="2:116" ht="15" customHeight="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37"/>
      <c r="CG34" s="119"/>
      <c r="CH34" s="126"/>
      <c r="CI34" s="126"/>
      <c r="CJ34" s="126"/>
      <c r="CK34" s="126"/>
      <c r="CL34" s="126"/>
      <c r="CM34" s="126"/>
      <c r="CN34" s="126"/>
      <c r="CO34" s="126"/>
      <c r="CP34" s="126"/>
      <c r="CQ34" s="126"/>
      <c r="CR34" s="126"/>
      <c r="CS34" s="126"/>
      <c r="CT34" s="126"/>
      <c r="CU34" s="126"/>
      <c r="CV34" s="119"/>
      <c r="CW34" s="119"/>
      <c r="CX34" s="119"/>
      <c r="CY34" s="119"/>
      <c r="CZ34" s="119"/>
      <c r="DA34" s="119"/>
      <c r="DB34" s="119"/>
      <c r="DC34" s="119"/>
      <c r="DD34" s="119"/>
      <c r="DE34" s="119"/>
      <c r="DF34" s="119"/>
      <c r="DG34" s="119"/>
      <c r="DH34" s="119"/>
      <c r="DI34" s="119"/>
      <c r="DJ34" s="119"/>
      <c r="DK34" s="119"/>
      <c r="DL34" s="119"/>
    </row>
    <row r="35" spans="1:116" s="6" customFormat="1" ht="15" customHeight="1">
      <c r="A35" s="319" t="s">
        <v>842</v>
      </c>
      <c r="B35" s="319"/>
      <c r="C35" s="319"/>
      <c r="D35" s="319"/>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c r="BO35" s="320"/>
      <c r="BP35" s="320"/>
      <c r="BQ35" s="320"/>
      <c r="BR35" s="320"/>
      <c r="BS35" s="320"/>
      <c r="BT35" s="319"/>
      <c r="BU35" s="319"/>
      <c r="BV35" s="319"/>
      <c r="BW35" s="319"/>
      <c r="BX35" s="319"/>
      <c r="BY35" s="319"/>
      <c r="BZ35" s="319"/>
      <c r="CA35" s="319"/>
      <c r="CB35" s="319"/>
      <c r="CC35" s="319"/>
      <c r="CD35" s="319"/>
      <c r="CE35" s="321"/>
      <c r="CF35" s="322"/>
      <c r="CG35" s="323"/>
      <c r="CH35" s="324"/>
      <c r="CI35" s="324"/>
      <c r="CJ35" s="324"/>
      <c r="CK35" s="324"/>
      <c r="CL35" s="324"/>
      <c r="CM35" s="324"/>
      <c r="CN35" s="324"/>
      <c r="CO35" s="324"/>
      <c r="CP35" s="324"/>
      <c r="CQ35" s="324"/>
      <c r="CR35" s="324"/>
      <c r="CS35" s="324"/>
      <c r="CT35" s="324"/>
      <c r="CU35" s="324"/>
      <c r="CV35" s="323"/>
      <c r="CW35" s="323"/>
      <c r="CX35" s="323"/>
      <c r="CY35" s="323"/>
      <c r="CZ35" s="323"/>
      <c r="DA35" s="323"/>
      <c r="DB35" s="323"/>
      <c r="DC35" s="323"/>
      <c r="DD35" s="323"/>
      <c r="DE35" s="323"/>
      <c r="DF35" s="323"/>
      <c r="DG35" s="323"/>
      <c r="DH35" s="323"/>
      <c r="DI35" s="323"/>
      <c r="DJ35" s="323"/>
      <c r="DK35" s="323"/>
      <c r="DL35" s="323"/>
    </row>
    <row r="36" spans="2:116" ht="15" customHeight="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37"/>
      <c r="CG36" s="119"/>
      <c r="CH36" s="126"/>
      <c r="CI36" s="126"/>
      <c r="CJ36" s="126"/>
      <c r="CK36" s="126"/>
      <c r="CL36" s="126"/>
      <c r="CM36" s="126"/>
      <c r="CN36" s="126"/>
      <c r="CO36" s="126"/>
      <c r="CP36" s="126"/>
      <c r="CQ36" s="126"/>
      <c r="CR36" s="126"/>
      <c r="CS36" s="126"/>
      <c r="CT36" s="126"/>
      <c r="CU36" s="126"/>
      <c r="CV36" s="119"/>
      <c r="CW36" s="119"/>
      <c r="CX36" s="119"/>
      <c r="CY36" s="119"/>
      <c r="CZ36" s="119"/>
      <c r="DA36" s="119"/>
      <c r="DB36" s="119"/>
      <c r="DC36" s="119"/>
      <c r="DD36" s="119"/>
      <c r="DE36" s="119"/>
      <c r="DF36" s="119"/>
      <c r="DG36" s="119"/>
      <c r="DH36" s="119"/>
      <c r="DI36" s="119"/>
      <c r="DJ36" s="119"/>
      <c r="DK36" s="119"/>
      <c r="DL36" s="119"/>
    </row>
    <row r="37" spans="2:116" ht="15" customHeight="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37"/>
      <c r="CG37" s="119"/>
      <c r="CH37" s="126"/>
      <c r="CI37" s="126"/>
      <c r="CJ37" s="126"/>
      <c r="CK37" s="126"/>
      <c r="CL37" s="126"/>
      <c r="CM37" s="126"/>
      <c r="CN37" s="126"/>
      <c r="CO37" s="126"/>
      <c r="CP37" s="126"/>
      <c r="CQ37" s="126"/>
      <c r="CR37" s="126"/>
      <c r="CS37" s="126"/>
      <c r="CT37" s="126"/>
      <c r="CU37" s="126"/>
      <c r="CV37" s="119"/>
      <c r="CW37" s="119"/>
      <c r="CX37" s="119"/>
      <c r="CY37" s="119"/>
      <c r="CZ37" s="119"/>
      <c r="DA37" s="119"/>
      <c r="DB37" s="119"/>
      <c r="DC37" s="119"/>
      <c r="DD37" s="119"/>
      <c r="DE37" s="119"/>
      <c r="DF37" s="119"/>
      <c r="DG37" s="119"/>
      <c r="DH37" s="119"/>
      <c r="DI37" s="119"/>
      <c r="DJ37" s="119"/>
      <c r="DK37" s="119"/>
      <c r="DL37" s="119"/>
    </row>
    <row r="38" spans="1:116" ht="12.75">
      <c r="A38" s="119" t="s">
        <v>278</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row>
    <row r="39" spans="1:116" s="5" customFormat="1" ht="11.25" customHeight="1">
      <c r="A39" s="634"/>
      <c r="B39" s="634"/>
      <c r="C39" s="634"/>
      <c r="D39" s="634"/>
      <c r="E39" s="634"/>
      <c r="F39" s="634"/>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34"/>
      <c r="AL39" s="634"/>
      <c r="AM39" s="634"/>
      <c r="AN39" s="634"/>
      <c r="AO39" s="634"/>
      <c r="AP39" s="634"/>
      <c r="AQ39" s="634"/>
      <c r="AR39" s="634"/>
      <c r="AS39" s="634"/>
      <c r="AT39" s="634"/>
      <c r="AU39" s="634"/>
      <c r="AV39" s="634"/>
      <c r="AW39" s="634"/>
      <c r="AX39" s="634"/>
      <c r="AY39" s="634"/>
      <c r="AZ39" s="634"/>
      <c r="BA39" s="634"/>
      <c r="BB39" s="634"/>
      <c r="BC39" s="634"/>
      <c r="BD39" s="634"/>
      <c r="BE39" s="634"/>
      <c r="BF39" s="634"/>
      <c r="BG39" s="634"/>
      <c r="BH39" s="634"/>
      <c r="BI39" s="634"/>
      <c r="BJ39" s="634"/>
      <c r="BK39" s="634"/>
      <c r="BL39" s="634"/>
      <c r="BM39" s="634"/>
      <c r="BN39" s="634"/>
      <c r="BO39" s="634"/>
      <c r="BP39" s="634"/>
      <c r="BQ39" s="634"/>
      <c r="BR39" s="634"/>
      <c r="BS39" s="634"/>
      <c r="BT39" s="634"/>
      <c r="BU39" s="634"/>
      <c r="BV39" s="634"/>
      <c r="BW39" s="634"/>
      <c r="BX39" s="634"/>
      <c r="BY39" s="634"/>
      <c r="BZ39" s="634"/>
      <c r="CA39" s="634"/>
      <c r="CB39" s="634"/>
      <c r="CC39" s="634"/>
      <c r="CD39" s="634"/>
      <c r="CE39" s="634"/>
      <c r="CF39" s="634"/>
      <c r="CG39" s="634"/>
      <c r="CH39" s="634"/>
      <c r="CI39" s="634"/>
      <c r="CJ39" s="634"/>
      <c r="CK39" s="634"/>
      <c r="CL39" s="634"/>
      <c r="CM39" s="634"/>
      <c r="CN39" s="634"/>
      <c r="CO39" s="634"/>
      <c r="CP39" s="634"/>
      <c r="CQ39" s="634"/>
      <c r="CR39" s="634"/>
      <c r="CS39" s="634"/>
      <c r="CT39" s="634"/>
      <c r="CU39" s="634"/>
      <c r="CV39" s="144"/>
      <c r="CW39" s="144"/>
      <c r="CX39" s="144"/>
      <c r="CY39" s="144"/>
      <c r="CZ39" s="144"/>
      <c r="DA39" s="144"/>
      <c r="DB39" s="144"/>
      <c r="DC39" s="144"/>
      <c r="DD39" s="144"/>
      <c r="DE39" s="144"/>
      <c r="DF39" s="144"/>
      <c r="DG39" s="144"/>
      <c r="DH39" s="144"/>
      <c r="DI39" s="144"/>
      <c r="DJ39" s="144"/>
      <c r="DK39" s="144"/>
      <c r="DL39" s="144"/>
    </row>
    <row r="40" spans="1:116" ht="12.75">
      <c r="A40" s="635"/>
      <c r="B40" s="636"/>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636"/>
      <c r="AV40" s="636"/>
      <c r="AW40" s="636"/>
      <c r="AX40" s="636"/>
      <c r="AY40" s="636"/>
      <c r="AZ40" s="636"/>
      <c r="BA40" s="636"/>
      <c r="BB40" s="636"/>
      <c r="BC40" s="636"/>
      <c r="BD40" s="636"/>
      <c r="BE40" s="636"/>
      <c r="BF40" s="636"/>
      <c r="BG40" s="636"/>
      <c r="BH40" s="636"/>
      <c r="BI40" s="636"/>
      <c r="BJ40" s="636"/>
      <c r="BK40" s="636"/>
      <c r="BL40" s="636"/>
      <c r="BM40" s="636"/>
      <c r="BN40" s="636"/>
      <c r="BO40" s="636"/>
      <c r="BP40" s="636"/>
      <c r="BQ40" s="636"/>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row>
    <row r="41" spans="2:116" ht="12.75">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row>
    <row r="42" spans="2:116" ht="12.75">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row>
    <row r="43" spans="2:116" ht="12.75">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row>
    <row r="44" spans="2:116" ht="12.75">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row>
    <row r="49" ht="12.75">
      <c r="AM49" s="119"/>
    </row>
    <row r="50" ht="12.75">
      <c r="AM50" s="119"/>
    </row>
  </sheetData>
  <sheetProtection/>
  <mergeCells count="35">
    <mergeCell ref="BC9:CR9"/>
    <mergeCell ref="A39:CU39"/>
    <mergeCell ref="A40:BQ40"/>
    <mergeCell ref="CH31:CU31"/>
    <mergeCell ref="I32:BS32"/>
    <mergeCell ref="CH32:CU32"/>
    <mergeCell ref="CH33:CU33"/>
    <mergeCell ref="CH25:CU26"/>
    <mergeCell ref="CH27:CU27"/>
    <mergeCell ref="CH28:CU28"/>
    <mergeCell ref="U29:BS29"/>
    <mergeCell ref="CH29:CU29"/>
    <mergeCell ref="CH30:CU30"/>
    <mergeCell ref="AD21:BT21"/>
    <mergeCell ref="AJ22:AL22"/>
    <mergeCell ref="BE22:BG22"/>
    <mergeCell ref="BK22:BM22"/>
    <mergeCell ref="BQ11:CU11"/>
    <mergeCell ref="BQ12:CU12"/>
    <mergeCell ref="BQ13:CU13"/>
    <mergeCell ref="BQ14:CU14"/>
    <mergeCell ref="BQ15:CU15"/>
    <mergeCell ref="E24:L24"/>
    <mergeCell ref="AN24:AP24"/>
    <mergeCell ref="AS24:BC24"/>
    <mergeCell ref="BD24:BE24"/>
    <mergeCell ref="BF24:BH24"/>
    <mergeCell ref="BQ16:CA16"/>
    <mergeCell ref="CC16:CU16"/>
    <mergeCell ref="CC17:CU17"/>
    <mergeCell ref="BR18:BT18"/>
    <mergeCell ref="BW18:CG18"/>
    <mergeCell ref="CH18:CI18"/>
    <mergeCell ref="CJ18:CL18"/>
    <mergeCell ref="BQ17:CA17"/>
  </mergeCells>
  <printOptions/>
  <pageMargins left="0.3937007874015748" right="0.3937007874015748" top="0.7874015748031497" bottom="0.3937007874015748" header="0.2755905511811024" footer="0.2755905511811024"/>
  <pageSetup fitToHeight="1" fitToWidth="1" horizontalDpi="600" verticalDpi="600" orientation="landscape" paperSize="9" scale="96" r:id="rId3"/>
  <legacyDrawing r:id="rId2"/>
</worksheet>
</file>

<file path=xl/worksheets/sheet10.xml><?xml version="1.0" encoding="utf-8"?>
<worksheet xmlns="http://schemas.openxmlformats.org/spreadsheetml/2006/main" xmlns:r="http://schemas.openxmlformats.org/officeDocument/2006/relationships">
  <dimension ref="A1:L114"/>
  <sheetViews>
    <sheetView zoomScalePageLayoutView="0" workbookViewId="0" topLeftCell="A50">
      <selection activeCell="F65" sqref="F65"/>
    </sheetView>
  </sheetViews>
  <sheetFormatPr defaultColWidth="9.00390625" defaultRowHeight="12.75"/>
  <cols>
    <col min="1" max="1" width="9.125" style="222" customWidth="1"/>
    <col min="2" max="2" width="28.625" style="222" customWidth="1"/>
    <col min="3" max="3" width="9.375" style="121" customWidth="1"/>
    <col min="4" max="5" width="13.625" style="121" customWidth="1"/>
    <col min="6" max="6" width="17.00390625" style="326" customWidth="1"/>
    <col min="7" max="7" width="11.625" style="222" customWidth="1"/>
    <col min="8" max="8" width="13.625" style="222" customWidth="1"/>
    <col min="9" max="9" width="17.00390625" style="326" customWidth="1"/>
    <col min="10" max="10" width="10.00390625" style="222" customWidth="1"/>
    <col min="11" max="11" width="13.625" style="222" customWidth="1"/>
    <col min="12" max="12" width="20.25390625" style="389" customWidth="1"/>
    <col min="13" max="16384" width="9.125" style="222" customWidth="1"/>
  </cols>
  <sheetData>
    <row r="1" spans="5:12" ht="15">
      <c r="E1" s="288"/>
      <c r="I1" s="223" t="s">
        <v>896</v>
      </c>
      <c r="L1" s="478"/>
    </row>
    <row r="2" spans="5:12" ht="12.75">
      <c r="E2" s="288"/>
      <c r="L2" s="478"/>
    </row>
    <row r="3" spans="5:12" ht="15">
      <c r="E3" s="288"/>
      <c r="I3" s="204" t="s">
        <v>540</v>
      </c>
      <c r="L3" s="478"/>
    </row>
    <row r="4" spans="5:12" ht="15">
      <c r="E4" s="288"/>
      <c r="I4" s="204" t="s">
        <v>541</v>
      </c>
      <c r="L4" s="478"/>
    </row>
    <row r="5" spans="5:12" ht="15">
      <c r="E5" s="288"/>
      <c r="I5" s="204" t="s">
        <v>566</v>
      </c>
      <c r="L5" s="478"/>
    </row>
    <row r="6" spans="5:12" ht="15">
      <c r="E6" s="288"/>
      <c r="I6" s="204" t="s">
        <v>567</v>
      </c>
      <c r="L6" s="478"/>
    </row>
    <row r="7" spans="5:12" ht="15">
      <c r="E7" s="288"/>
      <c r="I7" s="204" t="s">
        <v>669</v>
      </c>
      <c r="L7" s="478"/>
    </row>
    <row r="8" spans="5:12" ht="15">
      <c r="E8" s="288"/>
      <c r="I8" s="204" t="s">
        <v>569</v>
      </c>
      <c r="L8" s="478"/>
    </row>
    <row r="11" spans="1:12" ht="15.75">
      <c r="A11" s="734" t="s">
        <v>843</v>
      </c>
      <c r="B11" s="734"/>
      <c r="C11" s="734"/>
      <c r="D11" s="734"/>
      <c r="E11" s="734"/>
      <c r="F11" s="734"/>
      <c r="G11" s="734"/>
      <c r="H11" s="734"/>
      <c r="I11" s="734"/>
      <c r="J11" s="734"/>
      <c r="K11" s="734"/>
      <c r="L11" s="734"/>
    </row>
    <row r="12" spans="1:12" ht="15.75">
      <c r="A12" s="283"/>
      <c r="B12" s="283"/>
      <c r="C12" s="282"/>
      <c r="D12" s="282"/>
      <c r="E12" s="282"/>
      <c r="F12" s="325"/>
      <c r="G12" s="283"/>
      <c r="H12" s="283"/>
      <c r="I12" s="325"/>
      <c r="J12" s="283"/>
      <c r="K12" s="283"/>
      <c r="L12" s="540"/>
    </row>
    <row r="13" spans="1:12" ht="15.75">
      <c r="A13" s="751" t="s">
        <v>831</v>
      </c>
      <c r="B13" s="751"/>
      <c r="C13" s="751"/>
      <c r="D13" s="751"/>
      <c r="E13" s="751"/>
      <c r="F13" s="751"/>
      <c r="G13" s="751"/>
      <c r="H13" s="751"/>
      <c r="I13" s="751"/>
      <c r="J13" s="751"/>
      <c r="K13" s="751"/>
      <c r="L13" s="751"/>
    </row>
    <row r="14" spans="1:12" ht="15">
      <c r="A14" s="750" t="s">
        <v>539</v>
      </c>
      <c r="B14" s="750"/>
      <c r="C14" s="750"/>
      <c r="D14" s="750"/>
      <c r="E14" s="750"/>
      <c r="F14" s="750"/>
      <c r="G14" s="750"/>
      <c r="H14" s="750"/>
      <c r="I14" s="750"/>
      <c r="J14" s="750"/>
      <c r="K14" s="750"/>
      <c r="L14" s="750"/>
    </row>
    <row r="15" ht="13.5" thickBot="1">
      <c r="L15" s="541">
        <v>340</v>
      </c>
    </row>
    <row r="16" spans="1:12" ht="13.5" thickBot="1">
      <c r="A16" s="752" t="s">
        <v>660</v>
      </c>
      <c r="B16" s="752" t="s">
        <v>844</v>
      </c>
      <c r="C16" s="752" t="s">
        <v>836</v>
      </c>
      <c r="D16" s="754" t="s">
        <v>845</v>
      </c>
      <c r="E16" s="755"/>
      <c r="F16" s="756"/>
      <c r="G16" s="754" t="s">
        <v>846</v>
      </c>
      <c r="H16" s="755"/>
      <c r="I16" s="756"/>
      <c r="J16" s="754" t="s">
        <v>847</v>
      </c>
      <c r="K16" s="755"/>
      <c r="L16" s="756"/>
    </row>
    <row r="17" spans="1:12" ht="39" thickBot="1">
      <c r="A17" s="753"/>
      <c r="B17" s="753"/>
      <c r="C17" s="753"/>
      <c r="D17" s="328" t="s">
        <v>848</v>
      </c>
      <c r="E17" s="251" t="s">
        <v>811</v>
      </c>
      <c r="F17" s="329" t="s">
        <v>849</v>
      </c>
      <c r="G17" s="328" t="s">
        <v>848</v>
      </c>
      <c r="H17" s="330" t="s">
        <v>811</v>
      </c>
      <c r="I17" s="329" t="s">
        <v>849</v>
      </c>
      <c r="J17" s="328" t="s">
        <v>848</v>
      </c>
      <c r="K17" s="330" t="s">
        <v>811</v>
      </c>
      <c r="L17" s="542" t="s">
        <v>849</v>
      </c>
    </row>
    <row r="18" spans="1:12" s="338" customFormat="1" ht="13.5" thickBot="1">
      <c r="A18" s="331" t="s">
        <v>850</v>
      </c>
      <c r="B18" s="332" t="s">
        <v>851</v>
      </c>
      <c r="C18" s="333"/>
      <c r="D18" s="334"/>
      <c r="E18" s="334"/>
      <c r="F18" s="335">
        <f>F19+F27+F28+F32+F37</f>
        <v>318000</v>
      </c>
      <c r="G18" s="336"/>
      <c r="H18" s="337"/>
      <c r="I18" s="335">
        <f>I19+I27+I28+I32+I35+I37</f>
        <v>441500</v>
      </c>
      <c r="J18" s="336"/>
      <c r="K18" s="337"/>
      <c r="L18" s="399">
        <f>L19+L27+L28+L32+L35+L37</f>
        <v>601500</v>
      </c>
    </row>
    <row r="19" spans="1:12" ht="39" thickBot="1">
      <c r="A19" s="339" t="s">
        <v>852</v>
      </c>
      <c r="B19" s="262" t="s">
        <v>853</v>
      </c>
      <c r="C19" s="340" t="s">
        <v>824</v>
      </c>
      <c r="D19" s="284"/>
      <c r="E19" s="284"/>
      <c r="F19" s="341">
        <f>F20+F21+F24+F25+F26</f>
        <v>180000</v>
      </c>
      <c r="G19" s="306"/>
      <c r="H19" s="339"/>
      <c r="I19" s="341">
        <v>185000</v>
      </c>
      <c r="J19" s="306"/>
      <c r="K19" s="339"/>
      <c r="L19" s="543">
        <v>345000</v>
      </c>
    </row>
    <row r="20" spans="1:12" ht="13.5" thickBot="1">
      <c r="A20" s="339"/>
      <c r="B20" s="252" t="s">
        <v>854</v>
      </c>
      <c r="C20" s="340" t="s">
        <v>824</v>
      </c>
      <c r="D20" s="328"/>
      <c r="E20" s="342"/>
      <c r="F20" s="343">
        <v>119300</v>
      </c>
      <c r="G20" s="344"/>
      <c r="H20" s="339"/>
      <c r="I20" s="343">
        <v>140000</v>
      </c>
      <c r="J20" s="306"/>
      <c r="K20" s="339"/>
      <c r="L20" s="387">
        <v>18500</v>
      </c>
    </row>
    <row r="21" spans="1:12" ht="13.5" thickBot="1">
      <c r="A21" s="339"/>
      <c r="B21" s="252" t="s">
        <v>855</v>
      </c>
      <c r="C21" s="340" t="s">
        <v>824</v>
      </c>
      <c r="D21" s="327"/>
      <c r="E21" s="345"/>
      <c r="F21" s="346">
        <f>3500+9000</f>
        <v>12500</v>
      </c>
      <c r="G21" s="344"/>
      <c r="H21" s="339"/>
      <c r="I21" s="346">
        <v>43000</v>
      </c>
      <c r="J21" s="306"/>
      <c r="K21" s="339"/>
      <c r="L21" s="544">
        <v>43000</v>
      </c>
    </row>
    <row r="22" spans="1:12" ht="13.5" thickBot="1">
      <c r="A22" s="339"/>
      <c r="B22" s="262" t="s">
        <v>856</v>
      </c>
      <c r="C22" s="340" t="s">
        <v>824</v>
      </c>
      <c r="D22" s="328"/>
      <c r="E22" s="328"/>
      <c r="F22" s="343"/>
      <c r="G22" s="306"/>
      <c r="H22" s="339"/>
      <c r="I22" s="343"/>
      <c r="J22" s="306"/>
      <c r="K22" s="339"/>
      <c r="L22" s="387"/>
    </row>
    <row r="23" spans="1:12" ht="26.25" thickBot="1">
      <c r="A23" s="339"/>
      <c r="B23" s="262" t="s">
        <v>857</v>
      </c>
      <c r="C23" s="340" t="s">
        <v>824</v>
      </c>
      <c r="D23" s="328"/>
      <c r="E23" s="328"/>
      <c r="F23" s="343"/>
      <c r="G23" s="306"/>
      <c r="H23" s="339"/>
      <c r="I23" s="343"/>
      <c r="J23" s="306"/>
      <c r="K23" s="339"/>
      <c r="L23" s="387"/>
    </row>
    <row r="24" spans="1:12" ht="13.5" thickBot="1">
      <c r="A24" s="339"/>
      <c r="B24" s="262" t="s">
        <v>858</v>
      </c>
      <c r="C24" s="340" t="s">
        <v>824</v>
      </c>
      <c r="D24" s="328"/>
      <c r="E24" s="328"/>
      <c r="F24" s="343">
        <v>10000</v>
      </c>
      <c r="G24" s="306"/>
      <c r="H24" s="339"/>
      <c r="I24" s="343">
        <v>25000</v>
      </c>
      <c r="J24" s="306"/>
      <c r="K24" s="339"/>
      <c r="L24" s="387">
        <v>25000</v>
      </c>
    </row>
    <row r="25" spans="1:12" ht="13.5" thickBot="1">
      <c r="A25" s="339"/>
      <c r="B25" s="262" t="s">
        <v>859</v>
      </c>
      <c r="C25" s="340" t="s">
        <v>824</v>
      </c>
      <c r="D25" s="328"/>
      <c r="E25" s="328"/>
      <c r="F25" s="343">
        <f>29400</f>
        <v>29400</v>
      </c>
      <c r="G25" s="306"/>
      <c r="H25" s="339"/>
      <c r="I25" s="343">
        <v>50000</v>
      </c>
      <c r="J25" s="306"/>
      <c r="K25" s="339"/>
      <c r="L25" s="387">
        <v>50000</v>
      </c>
    </row>
    <row r="26" spans="1:12" ht="13.5" thickBot="1">
      <c r="A26" s="339"/>
      <c r="B26" s="306" t="s">
        <v>832</v>
      </c>
      <c r="C26" s="340" t="s">
        <v>824</v>
      </c>
      <c r="D26" s="328"/>
      <c r="E26" s="328"/>
      <c r="F26" s="343">
        <v>8800</v>
      </c>
      <c r="G26" s="306"/>
      <c r="H26" s="339"/>
      <c r="I26" s="343">
        <v>30000</v>
      </c>
      <c r="J26" s="306"/>
      <c r="K26" s="339"/>
      <c r="L26" s="387">
        <v>30000</v>
      </c>
    </row>
    <row r="27" spans="1:12" ht="13.5" thickBot="1">
      <c r="A27" s="347" t="s">
        <v>860</v>
      </c>
      <c r="B27" s="252" t="s">
        <v>861</v>
      </c>
      <c r="C27" s="328"/>
      <c r="D27" s="328"/>
      <c r="E27" s="328"/>
      <c r="F27" s="343">
        <v>100000</v>
      </c>
      <c r="G27" s="306"/>
      <c r="H27" s="339"/>
      <c r="I27" s="343">
        <v>200000</v>
      </c>
      <c r="J27" s="306"/>
      <c r="K27" s="339"/>
      <c r="L27" s="387">
        <v>200000</v>
      </c>
    </row>
    <row r="28" spans="1:12" ht="13.5" thickBot="1">
      <c r="A28" s="347" t="s">
        <v>862</v>
      </c>
      <c r="B28" s="252" t="s">
        <v>863</v>
      </c>
      <c r="C28" s="328"/>
      <c r="D28" s="328"/>
      <c r="E28" s="328"/>
      <c r="F28" s="343">
        <v>5000</v>
      </c>
      <c r="G28" s="306"/>
      <c r="H28" s="339"/>
      <c r="I28" s="343">
        <v>6500</v>
      </c>
      <c r="J28" s="306"/>
      <c r="K28" s="348" t="s">
        <v>864</v>
      </c>
      <c r="L28" s="387">
        <v>6500</v>
      </c>
    </row>
    <row r="29" spans="1:12" ht="26.25" thickBot="1">
      <c r="A29" s="339" t="s">
        <v>865</v>
      </c>
      <c r="B29" s="262" t="s">
        <v>866</v>
      </c>
      <c r="C29" s="340" t="s">
        <v>824</v>
      </c>
      <c r="D29" s="328"/>
      <c r="E29" s="328"/>
      <c r="F29" s="343"/>
      <c r="G29" s="306"/>
      <c r="H29" s="306"/>
      <c r="I29" s="343"/>
      <c r="J29" s="306"/>
      <c r="K29" s="306"/>
      <c r="L29" s="387"/>
    </row>
    <row r="30" spans="1:12" s="390" customFormat="1" ht="42" customHeight="1" thickBot="1">
      <c r="A30" s="383" t="s">
        <v>865</v>
      </c>
      <c r="B30" s="384" t="s">
        <v>833</v>
      </c>
      <c r="C30" s="385" t="s">
        <v>825</v>
      </c>
      <c r="D30" s="386"/>
      <c r="E30" s="386"/>
      <c r="F30" s="387">
        <v>10000</v>
      </c>
      <c r="G30" s="388"/>
      <c r="H30" s="388"/>
      <c r="I30" s="389">
        <v>10000</v>
      </c>
      <c r="J30" s="388"/>
      <c r="K30" s="388"/>
      <c r="L30" s="387">
        <v>10000</v>
      </c>
    </row>
    <row r="31" spans="1:12" s="390" customFormat="1" ht="13.5" thickBot="1">
      <c r="A31" s="391" t="s">
        <v>867</v>
      </c>
      <c r="B31" s="392" t="s">
        <v>868</v>
      </c>
      <c r="C31" s="386"/>
      <c r="D31" s="386"/>
      <c r="E31" s="386"/>
      <c r="F31" s="387"/>
      <c r="G31" s="388"/>
      <c r="H31" s="388"/>
      <c r="I31" s="387"/>
      <c r="J31" s="388"/>
      <c r="K31" s="388"/>
      <c r="L31" s="387"/>
    </row>
    <row r="32" spans="1:12" s="390" customFormat="1" ht="13.5" thickBot="1">
      <c r="A32" s="391" t="s">
        <v>869</v>
      </c>
      <c r="B32" s="392" t="s">
        <v>870</v>
      </c>
      <c r="C32" s="385" t="s">
        <v>824</v>
      </c>
      <c r="D32" s="386"/>
      <c r="E32" s="386"/>
      <c r="F32" s="387">
        <f>F33+F34</f>
        <v>8000</v>
      </c>
      <c r="G32" s="388"/>
      <c r="H32" s="388"/>
      <c r="I32" s="387">
        <f>I33+I34</f>
        <v>12000</v>
      </c>
      <c r="J32" s="388"/>
      <c r="K32" s="388"/>
      <c r="L32" s="387">
        <f>L33+L34</f>
        <v>12000</v>
      </c>
    </row>
    <row r="33" spans="1:12" s="390" customFormat="1" ht="13.5" thickBot="1">
      <c r="A33" s="383"/>
      <c r="B33" s="392" t="s">
        <v>871</v>
      </c>
      <c r="C33" s="385" t="s">
        <v>824</v>
      </c>
      <c r="D33" s="386"/>
      <c r="E33" s="386"/>
      <c r="F33" s="387">
        <v>5000</v>
      </c>
      <c r="G33" s="388"/>
      <c r="H33" s="388"/>
      <c r="I33" s="387">
        <v>7000</v>
      </c>
      <c r="J33" s="388"/>
      <c r="K33" s="388"/>
      <c r="L33" s="387">
        <v>7000</v>
      </c>
    </row>
    <row r="34" spans="1:12" s="390" customFormat="1" ht="13.5" thickBot="1">
      <c r="A34" s="383"/>
      <c r="B34" s="393" t="s">
        <v>872</v>
      </c>
      <c r="C34" s="385" t="s">
        <v>824</v>
      </c>
      <c r="D34" s="386"/>
      <c r="E34" s="386"/>
      <c r="F34" s="387">
        <v>3000</v>
      </c>
      <c r="G34" s="388"/>
      <c r="H34" s="388"/>
      <c r="I34" s="387">
        <v>5000</v>
      </c>
      <c r="J34" s="388"/>
      <c r="K34" s="388"/>
      <c r="L34" s="387">
        <v>5000</v>
      </c>
    </row>
    <row r="35" spans="1:12" s="390" customFormat="1" ht="13.5" thickBot="1">
      <c r="A35" s="391" t="s">
        <v>873</v>
      </c>
      <c r="B35" s="392" t="s">
        <v>874</v>
      </c>
      <c r="C35" s="386"/>
      <c r="D35" s="386"/>
      <c r="E35" s="386"/>
      <c r="F35" s="387">
        <v>6000</v>
      </c>
      <c r="G35" s="388"/>
      <c r="H35" s="388"/>
      <c r="I35" s="387">
        <v>6000</v>
      </c>
      <c r="J35" s="388"/>
      <c r="K35" s="388"/>
      <c r="L35" s="387">
        <v>6000</v>
      </c>
    </row>
    <row r="36" spans="1:12" s="390" customFormat="1" ht="26.25" thickBot="1">
      <c r="A36" s="391" t="s">
        <v>873</v>
      </c>
      <c r="B36" s="393" t="s">
        <v>923</v>
      </c>
      <c r="C36" s="385" t="s">
        <v>825</v>
      </c>
      <c r="D36" s="386"/>
      <c r="E36" s="386"/>
      <c r="F36" s="387">
        <v>115000</v>
      </c>
      <c r="G36" s="388"/>
      <c r="H36" s="388"/>
      <c r="I36" s="387">
        <v>6000</v>
      </c>
      <c r="J36" s="388"/>
      <c r="K36" s="388"/>
      <c r="L36" s="387">
        <v>6000</v>
      </c>
    </row>
    <row r="37" spans="1:12" ht="39" thickBot="1">
      <c r="A37" s="339" t="s">
        <v>876</v>
      </c>
      <c r="B37" s="268" t="s">
        <v>875</v>
      </c>
      <c r="C37" s="328"/>
      <c r="D37" s="328"/>
      <c r="E37" s="328"/>
      <c r="F37" s="343">
        <v>25000</v>
      </c>
      <c r="G37" s="306"/>
      <c r="H37" s="306"/>
      <c r="I37" s="343">
        <f>I39+I40</f>
        <v>32000</v>
      </c>
      <c r="J37" s="306"/>
      <c r="K37" s="306"/>
      <c r="L37" s="387">
        <f>L39+L40</f>
        <v>32000</v>
      </c>
    </row>
    <row r="38" spans="1:12" ht="26.25" thickBot="1">
      <c r="A38" s="339"/>
      <c r="B38" s="349" t="s">
        <v>877</v>
      </c>
      <c r="C38" s="340" t="s">
        <v>825</v>
      </c>
      <c r="D38" s="328"/>
      <c r="E38" s="328"/>
      <c r="F38" s="343">
        <v>10000</v>
      </c>
      <c r="G38" s="306"/>
      <c r="H38" s="306"/>
      <c r="I38" s="343">
        <v>5000</v>
      </c>
      <c r="J38" s="306"/>
      <c r="K38" s="306"/>
      <c r="L38" s="387">
        <v>5000</v>
      </c>
    </row>
    <row r="39" spans="1:12" ht="39" thickBot="1">
      <c r="A39" s="339"/>
      <c r="B39" s="262" t="s">
        <v>833</v>
      </c>
      <c r="C39" s="340" t="s">
        <v>824</v>
      </c>
      <c r="D39" s="328"/>
      <c r="E39" s="328"/>
      <c r="F39" s="343">
        <v>12000</v>
      </c>
      <c r="G39" s="306"/>
      <c r="H39" s="306"/>
      <c r="I39" s="343">
        <v>19000</v>
      </c>
      <c r="J39" s="306"/>
      <c r="K39" s="306"/>
      <c r="L39" s="387">
        <v>19000</v>
      </c>
    </row>
    <row r="40" spans="1:12" ht="26.25" thickBot="1">
      <c r="A40" s="339"/>
      <c r="B40" s="262" t="s">
        <v>878</v>
      </c>
      <c r="C40" s="340" t="s">
        <v>824</v>
      </c>
      <c r="D40" s="328"/>
      <c r="E40" s="328"/>
      <c r="F40" s="343">
        <v>10000</v>
      </c>
      <c r="G40" s="306"/>
      <c r="H40" s="306"/>
      <c r="I40" s="343">
        <v>13000</v>
      </c>
      <c r="J40" s="306"/>
      <c r="K40" s="306"/>
      <c r="L40" s="387">
        <v>13000</v>
      </c>
    </row>
    <row r="41" spans="1:12" ht="13.5" thickBot="1">
      <c r="A41" s="339"/>
      <c r="B41" s="252" t="s">
        <v>189</v>
      </c>
      <c r="C41" s="328"/>
      <c r="D41" s="328"/>
      <c r="E41" s="328"/>
      <c r="F41" s="343"/>
      <c r="G41" s="306"/>
      <c r="H41" s="306"/>
      <c r="I41" s="343"/>
      <c r="J41" s="306"/>
      <c r="K41" s="306"/>
      <c r="L41" s="387"/>
    </row>
    <row r="42" spans="1:12" ht="39" thickBot="1">
      <c r="A42" s="339" t="s">
        <v>879</v>
      </c>
      <c r="B42" s="262" t="s">
        <v>880</v>
      </c>
      <c r="C42" s="328"/>
      <c r="D42" s="328"/>
      <c r="E42" s="328"/>
      <c r="F42" s="343"/>
      <c r="G42" s="306"/>
      <c r="H42" s="306"/>
      <c r="I42" s="343"/>
      <c r="J42" s="306"/>
      <c r="K42" s="306"/>
      <c r="L42" s="387"/>
    </row>
    <row r="43" spans="1:12" ht="13.5" thickBot="1">
      <c r="A43" s="339"/>
      <c r="B43" s="252" t="s">
        <v>881</v>
      </c>
      <c r="C43" s="328"/>
      <c r="D43" s="328"/>
      <c r="E43" s="328"/>
      <c r="F43" s="343"/>
      <c r="G43" s="306"/>
      <c r="H43" s="306"/>
      <c r="I43" s="343"/>
      <c r="J43" s="306"/>
      <c r="K43" s="306"/>
      <c r="L43" s="387"/>
    </row>
    <row r="44" spans="1:12" ht="13.5" thickBot="1">
      <c r="A44" s="339"/>
      <c r="B44" s="252" t="s">
        <v>189</v>
      </c>
      <c r="C44" s="328"/>
      <c r="D44" s="328"/>
      <c r="E44" s="328"/>
      <c r="F44" s="343"/>
      <c r="G44" s="306"/>
      <c r="H44" s="306"/>
      <c r="I44" s="343"/>
      <c r="J44" s="306"/>
      <c r="K44" s="306"/>
      <c r="L44" s="387"/>
    </row>
    <row r="45" spans="1:12" s="338" customFormat="1" ht="13.5" thickBot="1">
      <c r="A45" s="350" t="s">
        <v>882</v>
      </c>
      <c r="B45" s="336" t="s">
        <v>883</v>
      </c>
      <c r="C45" s="333" t="s">
        <v>824</v>
      </c>
      <c r="D45" s="334"/>
      <c r="E45" s="334"/>
      <c r="F45" s="335">
        <f>F46+F54+F55+F56+F57+F58+F61+F62+F67</f>
        <v>61364051.14</v>
      </c>
      <c r="G45" s="336"/>
      <c r="H45" s="336"/>
      <c r="I45" s="335">
        <f>I46+I54+I55+I56+I57+I58+I61+I62+I67</f>
        <v>78776816</v>
      </c>
      <c r="J45" s="336"/>
      <c r="K45" s="336"/>
      <c r="L45" s="399">
        <f>L46+L54+L55+L56+L57+L58+L61+L62+L67</f>
        <v>78776816</v>
      </c>
    </row>
    <row r="46" spans="1:12" ht="39" thickBot="1">
      <c r="A46" s="339" t="s">
        <v>884</v>
      </c>
      <c r="B46" s="262" t="s">
        <v>853</v>
      </c>
      <c r="C46" s="340" t="s">
        <v>824</v>
      </c>
      <c r="D46" s="328"/>
      <c r="E46" s="328"/>
      <c r="F46" s="343">
        <f>F47+F48+F49+F50+F51+F52+F53</f>
        <v>38468519.14</v>
      </c>
      <c r="G46" s="306"/>
      <c r="H46" s="306"/>
      <c r="I46" s="343">
        <f>I47+I48+I49+I50+I51+I52+I53</f>
        <v>45322816</v>
      </c>
      <c r="J46" s="306"/>
      <c r="K46" s="306"/>
      <c r="L46" s="387">
        <f>L47+L48+L49+L50+L51+L52+L53</f>
        <v>45322816</v>
      </c>
    </row>
    <row r="47" spans="1:12" ht="13.5" thickBot="1">
      <c r="A47" s="339"/>
      <c r="B47" s="252" t="s">
        <v>854</v>
      </c>
      <c r="C47" s="340" t="s">
        <v>824</v>
      </c>
      <c r="D47" s="328"/>
      <c r="E47" s="328"/>
      <c r="F47" s="343">
        <v>19230788</v>
      </c>
      <c r="G47" s="306"/>
      <c r="H47" s="306"/>
      <c r="I47" s="343">
        <f>20730788*110%</f>
        <v>22803866.8</v>
      </c>
      <c r="J47" s="306"/>
      <c r="K47" s="306"/>
      <c r="L47" s="387">
        <f>20730788*110%</f>
        <v>22803866.8</v>
      </c>
    </row>
    <row r="48" spans="1:12" ht="13.5" thickBot="1">
      <c r="A48" s="339"/>
      <c r="B48" s="252" t="s">
        <v>855</v>
      </c>
      <c r="C48" s="340" t="s">
        <v>824</v>
      </c>
      <c r="D48" s="328"/>
      <c r="E48" s="328"/>
      <c r="F48" s="343">
        <v>3300300</v>
      </c>
      <c r="G48" s="306"/>
      <c r="H48" s="306"/>
      <c r="I48" s="343">
        <f>3400300*110%</f>
        <v>3740330.0000000005</v>
      </c>
      <c r="J48" s="306"/>
      <c r="K48" s="306"/>
      <c r="L48" s="387">
        <f>3400300*110%</f>
        <v>3740330.0000000005</v>
      </c>
    </row>
    <row r="49" spans="1:12" ht="13.5" thickBot="1">
      <c r="A49" s="339"/>
      <c r="B49" s="262" t="s">
        <v>856</v>
      </c>
      <c r="C49" s="340" t="s">
        <v>824</v>
      </c>
      <c r="D49" s="328"/>
      <c r="E49" s="328"/>
      <c r="F49" s="343"/>
      <c r="G49" s="306"/>
      <c r="H49" s="306"/>
      <c r="I49" s="343"/>
      <c r="J49" s="306"/>
      <c r="K49" s="306"/>
      <c r="L49" s="387"/>
    </row>
    <row r="50" spans="1:12" ht="26.25" thickBot="1">
      <c r="A50" s="339"/>
      <c r="B50" s="262" t="s">
        <v>857</v>
      </c>
      <c r="C50" s="340" t="s">
        <v>824</v>
      </c>
      <c r="D50" s="328"/>
      <c r="E50" s="328"/>
      <c r="F50" s="343">
        <v>8101466</v>
      </c>
      <c r="G50" s="306"/>
      <c r="H50" s="306"/>
      <c r="I50" s="343">
        <f>9001472*110%</f>
        <v>9901619.200000001</v>
      </c>
      <c r="J50" s="306"/>
      <c r="K50" s="306"/>
      <c r="L50" s="387">
        <f>9001472*110%</f>
        <v>9901619.200000001</v>
      </c>
    </row>
    <row r="51" spans="1:12" ht="13.5" thickBot="1">
      <c r="A51" s="339"/>
      <c r="B51" s="262" t="s">
        <v>858</v>
      </c>
      <c r="C51" s="340" t="s">
        <v>824</v>
      </c>
      <c r="D51" s="328"/>
      <c r="E51" s="328"/>
      <c r="F51" s="343">
        <v>2533133</v>
      </c>
      <c r="G51" s="306"/>
      <c r="H51" s="306"/>
      <c r="I51" s="343">
        <f>2560000*110%</f>
        <v>2816000</v>
      </c>
      <c r="J51" s="306"/>
      <c r="K51" s="306"/>
      <c r="L51" s="387">
        <f>2560000*110%</f>
        <v>2816000</v>
      </c>
    </row>
    <row r="52" spans="1:12" ht="13.5" thickBot="1">
      <c r="A52" s="339"/>
      <c r="B52" s="262" t="s">
        <v>859</v>
      </c>
      <c r="C52" s="340" t="s">
        <v>824</v>
      </c>
      <c r="D52" s="328"/>
      <c r="E52" s="328"/>
      <c r="F52" s="343">
        <f>4000000+2832.14</f>
        <v>4002832.14</v>
      </c>
      <c r="G52" s="351"/>
      <c r="H52" s="306"/>
      <c r="I52" s="343">
        <f>(4000000+210000)*110%</f>
        <v>4631000</v>
      </c>
      <c r="J52" s="306"/>
      <c r="K52" s="306"/>
      <c r="L52" s="387">
        <f>(4000000+210000)*110%</f>
        <v>4631000</v>
      </c>
    </row>
    <row r="53" spans="1:12" ht="27" customHeight="1" thickBot="1">
      <c r="A53" s="339"/>
      <c r="B53" s="306" t="s">
        <v>832</v>
      </c>
      <c r="C53" s="340" t="s">
        <v>824</v>
      </c>
      <c r="D53" s="328"/>
      <c r="E53" s="328"/>
      <c r="F53" s="343">
        <v>1300000</v>
      </c>
      <c r="G53" s="351"/>
      <c r="H53" s="306"/>
      <c r="I53" s="343">
        <f>1300000*110%</f>
        <v>1430000</v>
      </c>
      <c r="J53" s="306"/>
      <c r="K53" s="306"/>
      <c r="L53" s="387">
        <f>1300000*110%</f>
        <v>1430000</v>
      </c>
    </row>
    <row r="54" spans="1:12" s="338" customFormat="1" ht="13.5" thickBot="1">
      <c r="A54" s="352" t="s">
        <v>860</v>
      </c>
      <c r="B54" s="353" t="s">
        <v>861</v>
      </c>
      <c r="C54" s="333" t="s">
        <v>824</v>
      </c>
      <c r="D54" s="334"/>
      <c r="E54" s="334"/>
      <c r="F54" s="335">
        <v>14600000</v>
      </c>
      <c r="G54" s="354"/>
      <c r="H54" s="336"/>
      <c r="I54" s="335">
        <f>20000000*110%</f>
        <v>22000000</v>
      </c>
      <c r="J54" s="336"/>
      <c r="K54" s="336"/>
      <c r="L54" s="399">
        <f>20000000*110%</f>
        <v>22000000</v>
      </c>
    </row>
    <row r="55" spans="1:12" s="338" customFormat="1" ht="13.5" thickBot="1">
      <c r="A55" s="352" t="s">
        <v>862</v>
      </c>
      <c r="B55" s="353" t="s">
        <v>863</v>
      </c>
      <c r="C55" s="333" t="s">
        <v>824</v>
      </c>
      <c r="D55" s="355"/>
      <c r="E55" s="355"/>
      <c r="F55" s="361">
        <f>310532-5000+100000</f>
        <v>405532</v>
      </c>
      <c r="G55" s="354"/>
      <c r="H55" s="336"/>
      <c r="I55" s="361">
        <v>350000</v>
      </c>
      <c r="J55" s="382"/>
      <c r="K55" s="382"/>
      <c r="L55" s="545">
        <v>350000</v>
      </c>
    </row>
    <row r="56" spans="1:12" s="402" customFormat="1" ht="26.25" thickBot="1">
      <c r="A56" s="395" t="s">
        <v>865</v>
      </c>
      <c r="B56" s="396" t="s">
        <v>866</v>
      </c>
      <c r="C56" s="397" t="s">
        <v>824</v>
      </c>
      <c r="D56" s="398"/>
      <c r="E56" s="398"/>
      <c r="F56" s="399">
        <v>500000</v>
      </c>
      <c r="G56" s="400"/>
      <c r="H56" s="401"/>
      <c r="I56" s="399">
        <v>500000</v>
      </c>
      <c r="J56" s="401"/>
      <c r="K56" s="401"/>
      <c r="L56" s="399">
        <v>500000</v>
      </c>
    </row>
    <row r="57" spans="1:12" s="338" customFormat="1" ht="13.5" thickBot="1">
      <c r="A57" s="352" t="s">
        <v>867</v>
      </c>
      <c r="B57" s="353" t="s">
        <v>868</v>
      </c>
      <c r="C57" s="333" t="s">
        <v>824</v>
      </c>
      <c r="D57" s="334"/>
      <c r="E57" s="334"/>
      <c r="F57" s="335">
        <f>650000-100000</f>
        <v>550000</v>
      </c>
      <c r="G57" s="354"/>
      <c r="H57" s="336"/>
      <c r="I57" s="335">
        <f>750000*110%</f>
        <v>825000.0000000001</v>
      </c>
      <c r="J57" s="336"/>
      <c r="K57" s="336"/>
      <c r="L57" s="399">
        <f>750000*110%</f>
        <v>825000.0000000001</v>
      </c>
    </row>
    <row r="58" spans="1:12" s="338" customFormat="1" ht="13.5" thickBot="1">
      <c r="A58" s="352" t="s">
        <v>869</v>
      </c>
      <c r="B58" s="353" t="s">
        <v>870</v>
      </c>
      <c r="C58" s="333" t="s">
        <v>824</v>
      </c>
      <c r="D58" s="334"/>
      <c r="E58" s="334"/>
      <c r="F58" s="335">
        <f>F59+F60</f>
        <v>900000</v>
      </c>
      <c r="G58" s="354"/>
      <c r="H58" s="336"/>
      <c r="I58" s="335">
        <f>I59+I60</f>
        <v>1155000.0000000002</v>
      </c>
      <c r="J58" s="336"/>
      <c r="K58" s="336"/>
      <c r="L58" s="399">
        <f>L59+L60</f>
        <v>1155000.0000000002</v>
      </c>
    </row>
    <row r="59" spans="1:12" ht="13.5" thickBot="1">
      <c r="A59" s="339"/>
      <c r="B59" s="252" t="s">
        <v>1114</v>
      </c>
      <c r="C59" s="340" t="s">
        <v>824</v>
      </c>
      <c r="D59" s="328"/>
      <c r="E59" s="328"/>
      <c r="F59" s="343">
        <f>300000+200000</f>
        <v>500000</v>
      </c>
      <c r="G59" s="351"/>
      <c r="H59" s="306"/>
      <c r="I59" s="343">
        <f>350000*110%</f>
        <v>385000.00000000006</v>
      </c>
      <c r="J59" s="306"/>
      <c r="K59" s="306"/>
      <c r="L59" s="387">
        <f>350000*110%</f>
        <v>385000.00000000006</v>
      </c>
    </row>
    <row r="60" spans="1:12" ht="13.5" thickBot="1">
      <c r="A60" s="339"/>
      <c r="B60" s="262" t="s">
        <v>872</v>
      </c>
      <c r="C60" s="340" t="s">
        <v>824</v>
      </c>
      <c r="D60" s="328"/>
      <c r="E60" s="328"/>
      <c r="F60" s="343">
        <v>400000</v>
      </c>
      <c r="G60" s="351"/>
      <c r="H60" s="306"/>
      <c r="I60" s="343">
        <f>700000*110%</f>
        <v>770000.0000000001</v>
      </c>
      <c r="J60" s="306"/>
      <c r="K60" s="306"/>
      <c r="L60" s="387">
        <f>700000*110%</f>
        <v>770000.0000000001</v>
      </c>
    </row>
    <row r="61" spans="1:12" s="338" customFormat="1" ht="13.5" thickBot="1">
      <c r="A61" s="352" t="s">
        <v>873</v>
      </c>
      <c r="B61" s="353" t="s">
        <v>874</v>
      </c>
      <c r="C61" s="333" t="s">
        <v>824</v>
      </c>
      <c r="D61" s="334"/>
      <c r="E61" s="334"/>
      <c r="F61" s="335">
        <v>700000</v>
      </c>
      <c r="G61" s="354"/>
      <c r="H61" s="336"/>
      <c r="I61" s="335">
        <f>1500000*110%</f>
        <v>1650000.0000000002</v>
      </c>
      <c r="J61" s="336"/>
      <c r="K61" s="336"/>
      <c r="L61" s="399">
        <f>1500000*110%</f>
        <v>1650000.0000000002</v>
      </c>
    </row>
    <row r="62" spans="1:12" s="338" customFormat="1" ht="39" thickBot="1">
      <c r="A62" s="337" t="s">
        <v>876</v>
      </c>
      <c r="B62" s="356" t="s">
        <v>875</v>
      </c>
      <c r="C62" s="333" t="s">
        <v>824</v>
      </c>
      <c r="D62" s="334"/>
      <c r="E62" s="334"/>
      <c r="F62" s="335">
        <f>F63+F64+F65</f>
        <v>5200000</v>
      </c>
      <c r="G62" s="354"/>
      <c r="H62" s="336"/>
      <c r="I62" s="335">
        <f>I63+I64+I65</f>
        <v>6710000</v>
      </c>
      <c r="J62" s="336"/>
      <c r="K62" s="336"/>
      <c r="L62" s="399">
        <f>L63+L64+L65</f>
        <v>6710000</v>
      </c>
    </row>
    <row r="63" spans="1:12" s="338" customFormat="1" ht="26.25" thickBot="1">
      <c r="A63" s="337" t="s">
        <v>876</v>
      </c>
      <c r="B63" s="357" t="s">
        <v>885</v>
      </c>
      <c r="C63" s="333" t="s">
        <v>824</v>
      </c>
      <c r="D63" s="334"/>
      <c r="E63" s="334"/>
      <c r="F63" s="343">
        <f>2300000</f>
        <v>2300000</v>
      </c>
      <c r="G63" s="354"/>
      <c r="H63" s="336"/>
      <c r="I63" s="343">
        <f>3000000*110%</f>
        <v>3300000.0000000005</v>
      </c>
      <c r="J63" s="336"/>
      <c r="K63" s="336"/>
      <c r="L63" s="387">
        <f>3000000*110%</f>
        <v>3300000.0000000005</v>
      </c>
    </row>
    <row r="64" spans="1:12" ht="39" thickBot="1">
      <c r="A64" s="339"/>
      <c r="B64" s="262" t="s">
        <v>833</v>
      </c>
      <c r="C64" s="340" t="s">
        <v>824</v>
      </c>
      <c r="D64" s="328"/>
      <c r="E64" s="328"/>
      <c r="F64" s="343">
        <f>2100000</f>
        <v>2100000</v>
      </c>
      <c r="G64" s="351"/>
      <c r="H64" s="306"/>
      <c r="I64" s="343">
        <f>2000000*110%</f>
        <v>2200000</v>
      </c>
      <c r="J64" s="306"/>
      <c r="K64" s="306"/>
      <c r="L64" s="387">
        <f>2000000*110%</f>
        <v>2200000</v>
      </c>
    </row>
    <row r="65" spans="1:12" ht="26.25" thickBot="1">
      <c r="A65" s="339"/>
      <c r="B65" s="262" t="s">
        <v>886</v>
      </c>
      <c r="C65" s="340" t="s">
        <v>824</v>
      </c>
      <c r="D65" s="328"/>
      <c r="E65" s="328"/>
      <c r="F65" s="343">
        <v>800000</v>
      </c>
      <c r="G65" s="351"/>
      <c r="H65" s="306"/>
      <c r="I65" s="343">
        <f>1100000*110%</f>
        <v>1210000</v>
      </c>
      <c r="J65" s="306"/>
      <c r="K65" s="306"/>
      <c r="L65" s="387">
        <f>1100000*110%</f>
        <v>1210000</v>
      </c>
    </row>
    <row r="66" spans="1:12" ht="13.5" thickBot="1">
      <c r="A66" s="339"/>
      <c r="B66" s="252" t="s">
        <v>887</v>
      </c>
      <c r="C66" s="340" t="s">
        <v>824</v>
      </c>
      <c r="D66" s="328"/>
      <c r="E66" s="328"/>
      <c r="F66" s="343"/>
      <c r="G66" s="351"/>
      <c r="H66" s="306"/>
      <c r="I66" s="343"/>
      <c r="J66" s="306"/>
      <c r="K66" s="306"/>
      <c r="L66" s="387"/>
    </row>
    <row r="67" spans="1:12" s="338" customFormat="1" ht="39" thickBot="1">
      <c r="A67" s="337" t="s">
        <v>879</v>
      </c>
      <c r="B67" s="332" t="s">
        <v>880</v>
      </c>
      <c r="C67" s="333" t="s">
        <v>824</v>
      </c>
      <c r="D67" s="334"/>
      <c r="E67" s="334"/>
      <c r="F67" s="335">
        <f>F68</f>
        <v>40000</v>
      </c>
      <c r="G67" s="354"/>
      <c r="H67" s="336"/>
      <c r="I67" s="335">
        <f>I68</f>
        <v>264000</v>
      </c>
      <c r="J67" s="336"/>
      <c r="K67" s="336"/>
      <c r="L67" s="399">
        <f>L68</f>
        <v>264000</v>
      </c>
    </row>
    <row r="68" spans="1:12" ht="13.5" thickBot="1">
      <c r="A68" s="339"/>
      <c r="B68" s="252" t="s">
        <v>881</v>
      </c>
      <c r="C68" s="340" t="s">
        <v>824</v>
      </c>
      <c r="D68" s="328"/>
      <c r="E68" s="328"/>
      <c r="F68" s="343">
        <v>40000</v>
      </c>
      <c r="G68" s="351"/>
      <c r="H68" s="306"/>
      <c r="I68" s="343">
        <f>240000*110%</f>
        <v>264000</v>
      </c>
      <c r="J68" s="306"/>
      <c r="K68" s="306"/>
      <c r="L68" s="387">
        <f>240000*110%</f>
        <v>264000</v>
      </c>
    </row>
    <row r="69" spans="1:12" ht="13.5" thickBot="1">
      <c r="A69" s="339"/>
      <c r="B69" s="252" t="s">
        <v>887</v>
      </c>
      <c r="C69" s="340" t="s">
        <v>824</v>
      </c>
      <c r="D69" s="328"/>
      <c r="E69" s="328"/>
      <c r="F69" s="343"/>
      <c r="G69" s="351"/>
      <c r="H69" s="306"/>
      <c r="I69" s="343"/>
      <c r="J69" s="306"/>
      <c r="K69" s="306"/>
      <c r="L69" s="387"/>
    </row>
    <row r="70" spans="1:12" ht="39" thickBot="1">
      <c r="A70" s="350" t="s">
        <v>888</v>
      </c>
      <c r="B70" s="332" t="s">
        <v>810</v>
      </c>
      <c r="C70" s="340" t="s">
        <v>824</v>
      </c>
      <c r="D70" s="328"/>
      <c r="E70" s="328"/>
      <c r="F70" s="335">
        <f>F71+F79+F88+F92</f>
        <v>704168.4</v>
      </c>
      <c r="G70" s="351"/>
      <c r="H70" s="306"/>
      <c r="I70" s="335">
        <f>I71+I79+I88+I92</f>
        <v>728200</v>
      </c>
      <c r="J70" s="306"/>
      <c r="K70" s="306"/>
      <c r="L70" s="399">
        <f>L71+L79+L88+L92</f>
        <v>577466.4</v>
      </c>
    </row>
    <row r="71" spans="1:12" ht="39" thickBot="1">
      <c r="A71" s="339" t="s">
        <v>884</v>
      </c>
      <c r="B71" s="262" t="s">
        <v>853</v>
      </c>
      <c r="C71" s="340" t="s">
        <v>824</v>
      </c>
      <c r="D71" s="328"/>
      <c r="E71" s="328"/>
      <c r="F71" s="343">
        <f>F72</f>
        <v>62966.4</v>
      </c>
      <c r="G71" s="358" t="s">
        <v>889</v>
      </c>
      <c r="H71" s="306"/>
      <c r="I71" s="343">
        <f>I72</f>
        <v>35200</v>
      </c>
      <c r="J71" s="306"/>
      <c r="K71" s="306"/>
      <c r="L71" s="387">
        <f>L72</f>
        <v>62966.399999999994</v>
      </c>
    </row>
    <row r="72" spans="1:12" ht="13.5" thickBot="1">
      <c r="A72" s="339"/>
      <c r="B72" s="252" t="s">
        <v>854</v>
      </c>
      <c r="C72" s="340" t="s">
        <v>824</v>
      </c>
      <c r="D72" s="328"/>
      <c r="E72" s="328"/>
      <c r="F72" s="343">
        <v>62966.4</v>
      </c>
      <c r="G72" s="351"/>
      <c r="H72" s="306"/>
      <c r="I72" s="343">
        <f>32000*110%</f>
        <v>35200</v>
      </c>
      <c r="J72" s="306"/>
      <c r="K72" s="306"/>
      <c r="L72" s="387">
        <f>52295.35+10671.05</f>
        <v>62966.399999999994</v>
      </c>
    </row>
    <row r="73" spans="1:12" ht="13.5" thickBot="1">
      <c r="A73" s="339"/>
      <c r="B73" s="252" t="s">
        <v>855</v>
      </c>
      <c r="C73" s="328"/>
      <c r="D73" s="328"/>
      <c r="E73" s="328"/>
      <c r="F73" s="343"/>
      <c r="G73" s="351"/>
      <c r="H73" s="306"/>
      <c r="I73" s="343"/>
      <c r="J73" s="306"/>
      <c r="K73" s="306"/>
      <c r="L73" s="387"/>
    </row>
    <row r="74" spans="1:12" ht="13.5" thickBot="1">
      <c r="A74" s="339"/>
      <c r="B74" s="262" t="s">
        <v>856</v>
      </c>
      <c r="C74" s="328"/>
      <c r="D74" s="328"/>
      <c r="E74" s="328"/>
      <c r="F74" s="343"/>
      <c r="G74" s="306"/>
      <c r="H74" s="306"/>
      <c r="I74" s="343"/>
      <c r="J74" s="306"/>
      <c r="K74" s="306"/>
      <c r="L74" s="387"/>
    </row>
    <row r="75" spans="1:12" ht="26.25" thickBot="1">
      <c r="A75" s="339"/>
      <c r="B75" s="262" t="s">
        <v>857</v>
      </c>
      <c r="C75" s="328"/>
      <c r="D75" s="328"/>
      <c r="E75" s="328"/>
      <c r="F75" s="343"/>
      <c r="G75" s="306"/>
      <c r="H75" s="306"/>
      <c r="I75" s="343"/>
      <c r="J75" s="306"/>
      <c r="K75" s="306"/>
      <c r="L75" s="387"/>
    </row>
    <row r="76" spans="1:12" ht="13.5" thickBot="1">
      <c r="A76" s="339"/>
      <c r="B76" s="262" t="s">
        <v>858</v>
      </c>
      <c r="C76" s="328"/>
      <c r="D76" s="328"/>
      <c r="E76" s="328"/>
      <c r="F76" s="343"/>
      <c r="G76" s="306"/>
      <c r="H76" s="306"/>
      <c r="I76" s="343"/>
      <c r="J76" s="306"/>
      <c r="K76" s="306"/>
      <c r="L76" s="387"/>
    </row>
    <row r="77" spans="1:12" ht="13.5" thickBot="1">
      <c r="A77" s="339"/>
      <c r="B77" s="262" t="s">
        <v>859</v>
      </c>
      <c r="C77" s="328"/>
      <c r="D77" s="328"/>
      <c r="E77" s="328"/>
      <c r="F77" s="343"/>
      <c r="G77" s="306"/>
      <c r="H77" s="306"/>
      <c r="I77" s="343"/>
      <c r="J77" s="306"/>
      <c r="K77" s="306"/>
      <c r="L77" s="387"/>
    </row>
    <row r="78" spans="1:12" ht="13.5" thickBot="1">
      <c r="A78" s="339"/>
      <c r="B78" s="252" t="s">
        <v>890</v>
      </c>
      <c r="C78" s="328"/>
      <c r="D78" s="328"/>
      <c r="E78" s="328"/>
      <c r="F78" s="343"/>
      <c r="G78" s="306"/>
      <c r="H78" s="306"/>
      <c r="I78" s="343"/>
      <c r="J78" s="306"/>
      <c r="K78" s="306"/>
      <c r="L78" s="387"/>
    </row>
    <row r="79" spans="1:12" ht="13.5" thickBot="1">
      <c r="A79" s="347" t="s">
        <v>860</v>
      </c>
      <c r="B79" s="252" t="s">
        <v>861</v>
      </c>
      <c r="C79" s="340" t="s">
        <v>824</v>
      </c>
      <c r="D79" s="328"/>
      <c r="E79" s="328"/>
      <c r="F79" s="343">
        <f>381202+120000+5000</f>
        <v>506202</v>
      </c>
      <c r="G79" s="306"/>
      <c r="H79" s="306"/>
      <c r="I79" s="343">
        <f>500000*110%</f>
        <v>550000</v>
      </c>
      <c r="J79" s="306"/>
      <c r="K79" s="306"/>
      <c r="L79" s="387">
        <f>381200</f>
        <v>381200</v>
      </c>
    </row>
    <row r="80" spans="1:12" ht="13.5" thickBot="1">
      <c r="A80" s="347" t="s">
        <v>862</v>
      </c>
      <c r="B80" s="252" t="s">
        <v>863</v>
      </c>
      <c r="C80" s="328"/>
      <c r="D80" s="328"/>
      <c r="E80" s="328"/>
      <c r="F80" s="343"/>
      <c r="G80" s="306"/>
      <c r="H80" s="306"/>
      <c r="I80" s="343"/>
      <c r="J80" s="306"/>
      <c r="K80" s="306"/>
      <c r="L80" s="387"/>
    </row>
    <row r="81" spans="1:12" ht="26.25" thickBot="1">
      <c r="A81" s="339" t="s">
        <v>865</v>
      </c>
      <c r="B81" s="262" t="s">
        <v>866</v>
      </c>
      <c r="C81" s="328"/>
      <c r="D81" s="328"/>
      <c r="E81" s="328"/>
      <c r="F81" s="343"/>
      <c r="G81" s="306"/>
      <c r="H81" s="306"/>
      <c r="I81" s="343"/>
      <c r="J81" s="306"/>
      <c r="K81" s="306"/>
      <c r="L81" s="387"/>
    </row>
    <row r="82" spans="1:12" ht="13.5" thickBot="1">
      <c r="A82" s="347" t="s">
        <v>867</v>
      </c>
      <c r="B82" s="252" t="s">
        <v>868</v>
      </c>
      <c r="C82" s="328"/>
      <c r="D82" s="328"/>
      <c r="E82" s="328"/>
      <c r="F82" s="343"/>
      <c r="G82" s="306"/>
      <c r="H82" s="306"/>
      <c r="I82" s="343"/>
      <c r="J82" s="306"/>
      <c r="K82" s="306"/>
      <c r="L82" s="387"/>
    </row>
    <row r="83" spans="1:12" ht="13.5" thickBot="1">
      <c r="A83" s="347" t="s">
        <v>869</v>
      </c>
      <c r="B83" s="252" t="s">
        <v>870</v>
      </c>
      <c r="C83" s="328"/>
      <c r="D83" s="328"/>
      <c r="E83" s="328"/>
      <c r="F83" s="343"/>
      <c r="G83" s="306"/>
      <c r="H83" s="306"/>
      <c r="I83" s="343"/>
      <c r="J83" s="306"/>
      <c r="K83" s="306"/>
      <c r="L83" s="387"/>
    </row>
    <row r="84" spans="1:12" ht="13.5" thickBot="1">
      <c r="A84" s="339"/>
      <c r="B84" s="252" t="s">
        <v>871</v>
      </c>
      <c r="C84" s="328"/>
      <c r="D84" s="328"/>
      <c r="E84" s="328"/>
      <c r="F84" s="343"/>
      <c r="G84" s="306"/>
      <c r="H84" s="306"/>
      <c r="I84" s="343"/>
      <c r="J84" s="306"/>
      <c r="K84" s="306"/>
      <c r="L84" s="387"/>
    </row>
    <row r="85" spans="1:12" ht="13.5" thickBot="1">
      <c r="A85" s="339"/>
      <c r="B85" s="262" t="s">
        <v>872</v>
      </c>
      <c r="C85" s="328"/>
      <c r="D85" s="328"/>
      <c r="E85" s="328"/>
      <c r="F85" s="343"/>
      <c r="G85" s="306"/>
      <c r="H85" s="306"/>
      <c r="I85" s="343"/>
      <c r="J85" s="306"/>
      <c r="K85" s="306"/>
      <c r="L85" s="387"/>
    </row>
    <row r="86" spans="1:12" ht="13.5" thickBot="1">
      <c r="A86" s="347" t="s">
        <v>873</v>
      </c>
      <c r="B86" s="252" t="s">
        <v>874</v>
      </c>
      <c r="C86" s="328"/>
      <c r="D86" s="328"/>
      <c r="E86" s="328"/>
      <c r="F86" s="343"/>
      <c r="G86" s="306"/>
      <c r="H86" s="306"/>
      <c r="I86" s="343"/>
      <c r="J86" s="306"/>
      <c r="K86" s="306"/>
      <c r="L86" s="387"/>
    </row>
    <row r="87" spans="1:12" ht="39" thickBot="1">
      <c r="A87" s="339"/>
      <c r="B87" s="268" t="s">
        <v>875</v>
      </c>
      <c r="C87" s="328"/>
      <c r="D87" s="328"/>
      <c r="E87" s="328"/>
      <c r="F87" s="343"/>
      <c r="G87" s="306"/>
      <c r="H87" s="306"/>
      <c r="I87" s="343"/>
      <c r="J87" s="306"/>
      <c r="K87" s="306"/>
      <c r="L87" s="387"/>
    </row>
    <row r="88" spans="1:12" ht="26.25" thickBot="1">
      <c r="A88" s="339" t="s">
        <v>876</v>
      </c>
      <c r="B88" s="349" t="s">
        <v>877</v>
      </c>
      <c r="C88" s="328"/>
      <c r="D88" s="328"/>
      <c r="E88" s="328"/>
      <c r="F88" s="343">
        <v>30000</v>
      </c>
      <c r="G88" s="306"/>
      <c r="H88" s="306"/>
      <c r="I88" s="343">
        <f>30000*110%</f>
        <v>33000</v>
      </c>
      <c r="J88" s="306"/>
      <c r="K88" s="306"/>
      <c r="L88" s="387">
        <v>33000</v>
      </c>
    </row>
    <row r="89" spans="1:12" ht="39" thickBot="1">
      <c r="A89" s="339"/>
      <c r="B89" s="262" t="s">
        <v>833</v>
      </c>
      <c r="C89" s="328"/>
      <c r="D89" s="328"/>
      <c r="E89" s="328"/>
      <c r="F89" s="343"/>
      <c r="G89" s="306"/>
      <c r="H89" s="306"/>
      <c r="I89" s="343"/>
      <c r="J89" s="306"/>
      <c r="K89" s="306"/>
      <c r="L89" s="387"/>
    </row>
    <row r="90" spans="1:12" ht="26.25" thickBot="1">
      <c r="A90" s="339"/>
      <c r="B90" s="262" t="s">
        <v>891</v>
      </c>
      <c r="C90" s="328"/>
      <c r="D90" s="328"/>
      <c r="E90" s="328"/>
      <c r="F90" s="343"/>
      <c r="G90" s="306"/>
      <c r="H90" s="306"/>
      <c r="I90" s="343"/>
      <c r="J90" s="306"/>
      <c r="K90" s="306"/>
      <c r="L90" s="387"/>
    </row>
    <row r="91" spans="1:12" ht="13.5" thickBot="1">
      <c r="A91" s="339"/>
      <c r="B91" s="252" t="s">
        <v>189</v>
      </c>
      <c r="C91" s="328"/>
      <c r="D91" s="328"/>
      <c r="E91" s="328"/>
      <c r="F91" s="343"/>
      <c r="G91" s="306"/>
      <c r="H91" s="306"/>
      <c r="I91" s="343"/>
      <c r="J91" s="306"/>
      <c r="K91" s="306"/>
      <c r="L91" s="387"/>
    </row>
    <row r="92" spans="1:12" ht="39" thickBot="1">
      <c r="A92" s="339" t="s">
        <v>879</v>
      </c>
      <c r="B92" s="262" t="s">
        <v>880</v>
      </c>
      <c r="C92" s="328"/>
      <c r="D92" s="328"/>
      <c r="E92" s="328"/>
      <c r="F92" s="343">
        <f>120300-15300</f>
        <v>105000</v>
      </c>
      <c r="G92" s="306"/>
      <c r="H92" s="306"/>
      <c r="I92" s="343">
        <v>110000</v>
      </c>
      <c r="J92" s="306"/>
      <c r="K92" s="306"/>
      <c r="L92" s="387">
        <f>100300</f>
        <v>100300</v>
      </c>
    </row>
    <row r="93" spans="1:12" ht="13.5" thickBot="1">
      <c r="A93" s="339"/>
      <c r="B93" s="252" t="s">
        <v>881</v>
      </c>
      <c r="C93" s="328"/>
      <c r="D93" s="328"/>
      <c r="E93" s="328"/>
      <c r="F93" s="343"/>
      <c r="G93" s="306"/>
      <c r="H93" s="306"/>
      <c r="I93" s="343"/>
      <c r="J93" s="306"/>
      <c r="K93" s="306"/>
      <c r="L93" s="387"/>
    </row>
    <row r="94" spans="2:12" ht="19.5" customHeight="1" thickBot="1">
      <c r="B94" s="306" t="s">
        <v>189</v>
      </c>
      <c r="C94" s="328"/>
      <c r="D94" s="328"/>
      <c r="E94" s="328"/>
      <c r="F94" s="343"/>
      <c r="G94" s="306"/>
      <c r="H94" s="306"/>
      <c r="I94" s="343"/>
      <c r="J94" s="306"/>
      <c r="K94" s="306"/>
      <c r="L94" s="387"/>
    </row>
    <row r="95" spans="1:12" ht="19.5" customHeight="1" thickBot="1">
      <c r="A95" s="350" t="s">
        <v>1014</v>
      </c>
      <c r="B95" s="344"/>
      <c r="C95" s="328"/>
      <c r="D95" s="328"/>
      <c r="E95" s="328"/>
      <c r="F95" s="335">
        <f>F96</f>
        <v>317036</v>
      </c>
      <c r="G95" s="306"/>
      <c r="H95" s="306"/>
      <c r="I95" s="343"/>
      <c r="J95" s="306"/>
      <c r="K95" s="306"/>
      <c r="L95" s="387"/>
    </row>
    <row r="96" spans="1:12" ht="39.75" customHeight="1" thickBot="1">
      <c r="A96" s="339" t="s">
        <v>876</v>
      </c>
      <c r="B96" s="533" t="s">
        <v>877</v>
      </c>
      <c r="C96" s="328"/>
      <c r="D96" s="328"/>
      <c r="E96" s="328"/>
      <c r="F96" s="343">
        <v>317036</v>
      </c>
      <c r="G96" s="306"/>
      <c r="H96" s="306"/>
      <c r="I96" s="343"/>
      <c r="J96" s="306"/>
      <c r="K96" s="306"/>
      <c r="L96" s="387"/>
    </row>
    <row r="97" spans="1:12" ht="13.5" thickBot="1">
      <c r="A97" s="748" t="s">
        <v>892</v>
      </c>
      <c r="B97" s="749"/>
      <c r="C97" s="328"/>
      <c r="D97" s="328"/>
      <c r="E97" s="328"/>
      <c r="F97" s="343"/>
      <c r="G97" s="306"/>
      <c r="H97" s="306"/>
      <c r="I97" s="343"/>
      <c r="J97" s="306"/>
      <c r="K97" s="306"/>
      <c r="L97" s="387"/>
    </row>
    <row r="100" spans="1:12" ht="15">
      <c r="A100" s="221" t="s">
        <v>893</v>
      </c>
      <c r="D100" s="145"/>
      <c r="E100" s="289" t="s">
        <v>980</v>
      </c>
      <c r="F100" s="359"/>
      <c r="G100" s="360"/>
      <c r="H100" s="360"/>
      <c r="I100" s="359"/>
      <c r="L100" s="546"/>
    </row>
    <row r="101" spans="1:4" ht="15">
      <c r="A101" s="221" t="s">
        <v>894</v>
      </c>
      <c r="D101" s="236" t="s">
        <v>655</v>
      </c>
    </row>
    <row r="104" spans="1:12" ht="15">
      <c r="A104" s="221" t="s">
        <v>895</v>
      </c>
      <c r="D104" s="145"/>
      <c r="E104" s="380" t="s">
        <v>915</v>
      </c>
      <c r="G104" s="360"/>
      <c r="H104" s="360"/>
      <c r="I104" s="359"/>
      <c r="L104" s="546"/>
    </row>
    <row r="105" spans="1:4" ht="15">
      <c r="A105" s="221" t="s">
        <v>894</v>
      </c>
      <c r="D105" s="236" t="s">
        <v>655</v>
      </c>
    </row>
    <row r="114" ht="12.75">
      <c r="I114" s="326">
        <f>'Прилож 7(340)'!F57652</f>
        <v>0</v>
      </c>
    </row>
  </sheetData>
  <sheetProtection/>
  <mergeCells count="10">
    <mergeCell ref="A97:B97"/>
    <mergeCell ref="A11:L11"/>
    <mergeCell ref="A14:L14"/>
    <mergeCell ref="A13:L13"/>
    <mergeCell ref="A16:A17"/>
    <mergeCell ref="B16:B17"/>
    <mergeCell ref="C16:C17"/>
    <mergeCell ref="D16:F16"/>
    <mergeCell ref="G16:I16"/>
    <mergeCell ref="J16:L16"/>
  </mergeCells>
  <printOptions/>
  <pageMargins left="0" right="0" top="0" bottom="0" header="0.7086614173228347" footer="0"/>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M49"/>
  <sheetViews>
    <sheetView zoomScalePageLayoutView="0" workbookViewId="0" topLeftCell="A22">
      <selection activeCell="R25" sqref="R25"/>
    </sheetView>
  </sheetViews>
  <sheetFormatPr defaultColWidth="9.00390625" defaultRowHeight="12.75"/>
  <cols>
    <col min="1" max="1" width="27.25390625" style="0" customWidth="1"/>
    <col min="2" max="4" width="12.375" style="0" customWidth="1"/>
    <col min="5" max="5" width="12.375" style="288" customWidth="1"/>
    <col min="6" max="13" width="12.375" style="0" customWidth="1"/>
  </cols>
  <sheetData>
    <row r="1" ht="15">
      <c r="J1" s="204" t="s">
        <v>679</v>
      </c>
    </row>
    <row r="3" ht="15">
      <c r="J3" s="204" t="s">
        <v>540</v>
      </c>
    </row>
    <row r="4" ht="15">
      <c r="J4" s="204" t="s">
        <v>541</v>
      </c>
    </row>
    <row r="5" ht="15">
      <c r="J5" s="204" t="s">
        <v>566</v>
      </c>
    </row>
    <row r="6" ht="15">
      <c r="J6" s="204" t="s">
        <v>567</v>
      </c>
    </row>
    <row r="7" ht="15">
      <c r="J7" s="204" t="s">
        <v>669</v>
      </c>
    </row>
    <row r="8" ht="15">
      <c r="J8" s="204" t="s">
        <v>569</v>
      </c>
    </row>
    <row r="11" spans="1:13" ht="15" customHeight="1">
      <c r="A11" s="735" t="s">
        <v>680</v>
      </c>
      <c r="B11" s="735"/>
      <c r="C11" s="735"/>
      <c r="D11" s="735"/>
      <c r="E11" s="735"/>
      <c r="F11" s="735"/>
      <c r="G11" s="735"/>
      <c r="H11" s="735"/>
      <c r="I11" s="735"/>
      <c r="J11" s="735"/>
      <c r="K11" s="735"/>
      <c r="L11" s="735"/>
      <c r="M11" s="735"/>
    </row>
    <row r="12" spans="1:13" ht="14.25">
      <c r="A12" s="762" t="s">
        <v>831</v>
      </c>
      <c r="B12" s="762"/>
      <c r="C12" s="762"/>
      <c r="D12" s="762"/>
      <c r="E12" s="762"/>
      <c r="F12" s="762"/>
      <c r="G12" s="762"/>
      <c r="H12" s="762"/>
      <c r="I12" s="762"/>
      <c r="J12" s="762"/>
      <c r="K12" s="762"/>
      <c r="L12" s="762"/>
      <c r="M12" s="762"/>
    </row>
    <row r="13" spans="1:13" ht="15">
      <c r="A13" s="763" t="s">
        <v>539</v>
      </c>
      <c r="B13" s="763"/>
      <c r="C13" s="763"/>
      <c r="D13" s="763"/>
      <c r="E13" s="763"/>
      <c r="F13" s="763"/>
      <c r="G13" s="763"/>
      <c r="H13" s="763"/>
      <c r="I13" s="763"/>
      <c r="J13" s="763"/>
      <c r="K13" s="763"/>
      <c r="L13" s="763"/>
      <c r="M13" s="763"/>
    </row>
    <row r="14" ht="13.5" thickBot="1"/>
    <row r="15" spans="1:13" ht="13.5" thickBot="1">
      <c r="A15" s="757" t="s">
        <v>671</v>
      </c>
      <c r="B15" s="759" t="s">
        <v>663</v>
      </c>
      <c r="C15" s="760"/>
      <c r="D15" s="760"/>
      <c r="E15" s="761"/>
      <c r="F15" s="759" t="s">
        <v>664</v>
      </c>
      <c r="G15" s="760"/>
      <c r="H15" s="760"/>
      <c r="I15" s="761"/>
      <c r="J15" s="759" t="s">
        <v>665</v>
      </c>
      <c r="K15" s="760"/>
      <c r="L15" s="760"/>
      <c r="M15" s="761"/>
    </row>
    <row r="16" spans="1:13" ht="64.5" thickBot="1">
      <c r="A16" s="758"/>
      <c r="B16" s="241" t="s">
        <v>681</v>
      </c>
      <c r="C16" s="253" t="s">
        <v>682</v>
      </c>
      <c r="D16" s="241" t="s">
        <v>683</v>
      </c>
      <c r="E16" s="273" t="s">
        <v>574</v>
      </c>
      <c r="F16" s="241" t="s">
        <v>681</v>
      </c>
      <c r="G16" s="241" t="s">
        <v>684</v>
      </c>
      <c r="H16" s="241" t="s">
        <v>683</v>
      </c>
      <c r="I16" s="249" t="s">
        <v>574</v>
      </c>
      <c r="J16" s="249" t="s">
        <v>685</v>
      </c>
      <c r="K16" s="241" t="s">
        <v>682</v>
      </c>
      <c r="L16" s="241" t="s">
        <v>683</v>
      </c>
      <c r="M16" s="249" t="s">
        <v>574</v>
      </c>
    </row>
    <row r="17" spans="1:13" s="279" customFormat="1" ht="27.75" thickBot="1">
      <c r="A17" s="239" t="s">
        <v>686</v>
      </c>
      <c r="B17" s="258"/>
      <c r="C17" s="258"/>
      <c r="D17" s="258"/>
      <c r="E17" s="281">
        <f>E19</f>
        <v>5000</v>
      </c>
      <c r="F17" s="258"/>
      <c r="G17" s="258"/>
      <c r="H17" s="258"/>
      <c r="I17" s="258"/>
      <c r="J17" s="258"/>
      <c r="K17" s="258"/>
      <c r="L17" s="258"/>
      <c r="M17" s="258"/>
    </row>
    <row r="18" spans="1:13" ht="13.5" thickBot="1">
      <c r="A18" s="246" t="s">
        <v>687</v>
      </c>
      <c r="B18" s="244"/>
      <c r="C18" s="244"/>
      <c r="D18" s="244"/>
      <c r="E18" s="274"/>
      <c r="F18" s="244"/>
      <c r="G18" s="244"/>
      <c r="H18" s="244"/>
      <c r="I18" s="244"/>
      <c r="J18" s="244"/>
      <c r="K18" s="244"/>
      <c r="L18" s="244"/>
      <c r="M18" s="244"/>
    </row>
    <row r="19" spans="1:13" ht="51.75" thickBot="1">
      <c r="A19" s="246" t="s">
        <v>688</v>
      </c>
      <c r="B19" s="244"/>
      <c r="C19" s="244"/>
      <c r="D19" s="244"/>
      <c r="E19" s="274">
        <v>5000</v>
      </c>
      <c r="F19" s="244"/>
      <c r="G19" s="244"/>
      <c r="H19" s="244"/>
      <c r="I19" s="244"/>
      <c r="J19" s="244"/>
      <c r="K19" s="244"/>
      <c r="L19" s="244"/>
      <c r="M19" s="244"/>
    </row>
    <row r="20" spans="1:13" ht="26.25" thickBot="1">
      <c r="A20" s="246" t="s">
        <v>689</v>
      </c>
      <c r="B20" s="244"/>
      <c r="C20" s="244"/>
      <c r="D20" s="248"/>
      <c r="E20" s="274"/>
      <c r="F20" s="244"/>
      <c r="G20" s="244"/>
      <c r="H20" s="244"/>
      <c r="I20" s="244"/>
      <c r="J20" s="244"/>
      <c r="K20" s="244"/>
      <c r="L20" s="244"/>
      <c r="M20" s="244"/>
    </row>
    <row r="21" spans="1:13" ht="33" customHeight="1" thickBot="1">
      <c r="A21" s="246" t="s">
        <v>690</v>
      </c>
      <c r="B21" s="244"/>
      <c r="C21" s="244"/>
      <c r="D21" s="244"/>
      <c r="E21" s="274"/>
      <c r="F21" s="244"/>
      <c r="G21" s="244"/>
      <c r="H21" s="244"/>
      <c r="I21" s="244"/>
      <c r="J21" s="244"/>
      <c r="K21" s="244"/>
      <c r="L21" s="244"/>
      <c r="M21" s="244"/>
    </row>
    <row r="22" spans="1:13" ht="48.75" customHeight="1" thickBot="1">
      <c r="A22" s="262" t="s">
        <v>696</v>
      </c>
      <c r="B22" s="244"/>
      <c r="C22" s="244"/>
      <c r="D22" s="244"/>
      <c r="E22" s="274"/>
      <c r="F22" s="244"/>
      <c r="G22" s="244"/>
      <c r="H22" s="244"/>
      <c r="I22" s="244"/>
      <c r="J22" s="244"/>
      <c r="K22" s="244"/>
      <c r="L22" s="244"/>
      <c r="M22" s="244"/>
    </row>
    <row r="23" spans="1:13" ht="33" customHeight="1" thickBot="1">
      <c r="A23" s="246" t="s">
        <v>691</v>
      </c>
      <c r="B23" s="244"/>
      <c r="C23" s="244"/>
      <c r="D23" s="244"/>
      <c r="E23" s="274"/>
      <c r="F23" s="244"/>
      <c r="G23" s="244"/>
      <c r="H23" s="244"/>
      <c r="I23" s="244"/>
      <c r="J23" s="244"/>
      <c r="K23" s="244"/>
      <c r="L23" s="244"/>
      <c r="M23" s="244"/>
    </row>
    <row r="24" spans="1:13" ht="13.5" thickBot="1">
      <c r="A24" s="244" t="s">
        <v>189</v>
      </c>
      <c r="B24" s="244"/>
      <c r="C24" s="244"/>
      <c r="D24" s="244"/>
      <c r="E24" s="274"/>
      <c r="F24" s="244"/>
      <c r="G24" s="244"/>
      <c r="H24" s="244"/>
      <c r="I24" s="244"/>
      <c r="J24" s="244"/>
      <c r="K24" s="244"/>
      <c r="L24" s="244"/>
      <c r="M24" s="244"/>
    </row>
    <row r="25" spans="1:13" ht="14.25" thickBot="1">
      <c r="A25" s="238" t="s">
        <v>692</v>
      </c>
      <c r="B25" s="244"/>
      <c r="C25" s="244"/>
      <c r="D25" s="244"/>
      <c r="E25" s="274">
        <f>E27+E28+E29+E30+E31</f>
        <v>587447.8300000001</v>
      </c>
      <c r="F25" s="244"/>
      <c r="G25" s="244"/>
      <c r="H25" s="244"/>
      <c r="I25" s="305">
        <f>I27+I28+I29+I30+I31</f>
        <v>651692.6130000001</v>
      </c>
      <c r="J25" s="244"/>
      <c r="K25" s="244"/>
      <c r="L25" s="244"/>
      <c r="M25" s="305">
        <f>M27+M28+M29+M30+M31</f>
        <v>651692.6130000001</v>
      </c>
    </row>
    <row r="26" spans="1:13" ht="13.5" thickBot="1">
      <c r="A26" s="246" t="s">
        <v>687</v>
      </c>
      <c r="B26" s="244"/>
      <c r="C26" s="244"/>
      <c r="D26" s="244"/>
      <c r="E26" s="275"/>
      <c r="F26" s="300"/>
      <c r="G26" s="244"/>
      <c r="H26" s="244"/>
      <c r="I26" s="244"/>
      <c r="J26" s="244"/>
      <c r="K26" s="244"/>
      <c r="L26" s="244"/>
      <c r="M26" s="244"/>
    </row>
    <row r="27" spans="1:13" ht="51.75" thickBot="1">
      <c r="A27" s="246" t="s">
        <v>688</v>
      </c>
      <c r="B27" s="244"/>
      <c r="C27" s="244">
        <v>12</v>
      </c>
      <c r="D27" s="244"/>
      <c r="E27" s="298">
        <f>151104+94371.83-5000</f>
        <v>240475.83000000002</v>
      </c>
      <c r="F27" s="303"/>
      <c r="G27" s="272">
        <v>12</v>
      </c>
      <c r="H27" s="244"/>
      <c r="I27" s="274">
        <f>(151104+94371.83)*110%</f>
        <v>270023.41300000006</v>
      </c>
      <c r="J27" s="244"/>
      <c r="K27" s="272">
        <v>12</v>
      </c>
      <c r="L27" s="244"/>
      <c r="M27" s="274">
        <f>(151104+94371.83)*110%</f>
        <v>270023.41300000006</v>
      </c>
    </row>
    <row r="28" spans="1:13" ht="26.25" thickBot="1">
      <c r="A28" s="246" t="s">
        <v>689</v>
      </c>
      <c r="B28" s="244"/>
      <c r="C28" s="244">
        <v>12</v>
      </c>
      <c r="D28" s="248"/>
      <c r="E28" s="298">
        <v>95000</v>
      </c>
      <c r="F28" s="304"/>
      <c r="G28" s="272">
        <v>12</v>
      </c>
      <c r="H28" s="248"/>
      <c r="I28" s="274">
        <f>95000*110%</f>
        <v>104500.00000000001</v>
      </c>
      <c r="J28" s="244"/>
      <c r="K28" s="272">
        <v>12</v>
      </c>
      <c r="L28" s="248"/>
      <c r="M28" s="274">
        <f>95000*110%</f>
        <v>104500.00000000001</v>
      </c>
    </row>
    <row r="29" spans="1:13" ht="26.25" thickBot="1">
      <c r="A29" s="246" t="s">
        <v>690</v>
      </c>
      <c r="B29" s="244"/>
      <c r="C29" s="244">
        <v>12</v>
      </c>
      <c r="D29" s="244"/>
      <c r="E29" s="298">
        <v>17000</v>
      </c>
      <c r="F29" s="303"/>
      <c r="G29" s="272">
        <v>12</v>
      </c>
      <c r="H29" s="244"/>
      <c r="I29" s="274">
        <f>17000*110%</f>
        <v>18700</v>
      </c>
      <c r="J29" s="244"/>
      <c r="K29" s="272">
        <v>12</v>
      </c>
      <c r="L29" s="244"/>
      <c r="M29" s="274">
        <f>17000*110%</f>
        <v>18700</v>
      </c>
    </row>
    <row r="30" spans="1:13" ht="42" customHeight="1" thickBot="1">
      <c r="A30" s="246" t="s">
        <v>693</v>
      </c>
      <c r="B30" s="244"/>
      <c r="C30" s="244">
        <v>12</v>
      </c>
      <c r="D30" s="244"/>
      <c r="E30" s="302">
        <v>38592</v>
      </c>
      <c r="F30" s="304"/>
      <c r="G30" s="272">
        <v>12</v>
      </c>
      <c r="H30" s="244"/>
      <c r="I30" s="288">
        <f>38592*110%</f>
        <v>42451.200000000004</v>
      </c>
      <c r="J30" s="244"/>
      <c r="K30" s="272">
        <v>12</v>
      </c>
      <c r="L30" s="244"/>
      <c r="M30" s="288">
        <f>38592*110%</f>
        <v>42451.200000000004</v>
      </c>
    </row>
    <row r="31" spans="1:13" ht="34.5" customHeight="1" thickBot="1">
      <c r="A31" s="246" t="s">
        <v>691</v>
      </c>
      <c r="B31" s="244"/>
      <c r="C31" s="244">
        <v>12</v>
      </c>
      <c r="D31" s="244"/>
      <c r="E31" s="299">
        <f>29340+167040</f>
        <v>196380</v>
      </c>
      <c r="F31" s="303"/>
      <c r="G31" s="272">
        <v>12</v>
      </c>
      <c r="H31" s="244"/>
      <c r="I31" s="297">
        <f>(29340+167040)*110%</f>
        <v>216018.00000000003</v>
      </c>
      <c r="J31" s="244"/>
      <c r="K31" s="272">
        <v>12</v>
      </c>
      <c r="L31" s="244"/>
      <c r="M31" s="297">
        <f>(29340+167040)*110%</f>
        <v>216018.00000000003</v>
      </c>
    </row>
    <row r="32" spans="1:13" ht="13.5" thickBot="1">
      <c r="A32" s="244" t="s">
        <v>189</v>
      </c>
      <c r="B32" s="244"/>
      <c r="C32" s="244"/>
      <c r="D32" s="244"/>
      <c r="E32" s="277"/>
      <c r="F32" s="301"/>
      <c r="G32" s="244"/>
      <c r="H32" s="244"/>
      <c r="I32" s="244"/>
      <c r="J32" s="244"/>
      <c r="K32" s="244"/>
      <c r="L32" s="244"/>
      <c r="M32" s="244"/>
    </row>
    <row r="33" spans="1:13" ht="41.25" thickBot="1">
      <c r="A33" s="239" t="s">
        <v>694</v>
      </c>
      <c r="B33" s="244"/>
      <c r="C33" s="244"/>
      <c r="D33" s="244"/>
      <c r="E33" s="274"/>
      <c r="F33" s="244"/>
      <c r="G33" s="244"/>
      <c r="H33" s="244"/>
      <c r="I33" s="244"/>
      <c r="J33" s="244"/>
      <c r="K33" s="244"/>
      <c r="L33" s="244"/>
      <c r="M33" s="244"/>
    </row>
    <row r="34" spans="1:13" ht="13.5" thickBot="1">
      <c r="A34" s="246" t="s">
        <v>687</v>
      </c>
      <c r="B34" s="244"/>
      <c r="C34" s="244"/>
      <c r="D34" s="244"/>
      <c r="E34" s="274"/>
      <c r="F34" s="244"/>
      <c r="G34" s="244"/>
      <c r="H34" s="244"/>
      <c r="I34" s="244"/>
      <c r="J34" s="244"/>
      <c r="K34" s="244"/>
      <c r="L34" s="244"/>
      <c r="M34" s="244"/>
    </row>
    <row r="35" spans="1:13" ht="51.75" thickBot="1">
      <c r="A35" s="246" t="s">
        <v>688</v>
      </c>
      <c r="B35" s="244"/>
      <c r="C35" s="244"/>
      <c r="D35" s="244"/>
      <c r="E35" s="274"/>
      <c r="F35" s="244"/>
      <c r="G35" s="244"/>
      <c r="H35" s="244"/>
      <c r="I35" s="244"/>
      <c r="J35" s="244"/>
      <c r="K35" s="244"/>
      <c r="L35" s="244"/>
      <c r="M35" s="244"/>
    </row>
    <row r="36" spans="1:13" ht="21" customHeight="1" thickBot="1">
      <c r="A36" s="246" t="s">
        <v>689</v>
      </c>
      <c r="B36" s="244"/>
      <c r="C36" s="244"/>
      <c r="D36" s="244"/>
      <c r="E36" s="274"/>
      <c r="F36" s="244"/>
      <c r="G36" s="244"/>
      <c r="H36" s="244"/>
      <c r="I36" s="244"/>
      <c r="J36" s="244"/>
      <c r="K36" s="244"/>
      <c r="L36" s="244"/>
      <c r="M36" s="244"/>
    </row>
    <row r="37" spans="1:13" ht="27" customHeight="1" thickBot="1">
      <c r="A37" s="246" t="s">
        <v>690</v>
      </c>
      <c r="B37" s="244"/>
      <c r="C37" s="244"/>
      <c r="D37" s="244"/>
      <c r="E37" s="274"/>
      <c r="F37" s="244"/>
      <c r="G37" s="244"/>
      <c r="H37" s="244"/>
      <c r="I37" s="244"/>
      <c r="J37" s="244"/>
      <c r="K37" s="244"/>
      <c r="L37" s="244"/>
      <c r="M37" s="244"/>
    </row>
    <row r="38" spans="1:13" ht="45.75" customHeight="1" thickBot="1">
      <c r="A38" s="246" t="s">
        <v>693</v>
      </c>
      <c r="B38" s="244"/>
      <c r="C38" s="244"/>
      <c r="D38" s="244"/>
      <c r="E38" s="274"/>
      <c r="F38" s="244"/>
      <c r="G38" s="244"/>
      <c r="H38" s="244"/>
      <c r="I38" s="244"/>
      <c r="J38" s="244"/>
      <c r="K38" s="244"/>
      <c r="L38" s="244"/>
      <c r="M38" s="244"/>
    </row>
    <row r="39" spans="1:13" ht="33" customHeight="1" thickBot="1">
      <c r="A39" s="246" t="s">
        <v>691</v>
      </c>
      <c r="B39" s="244"/>
      <c r="C39" s="244"/>
      <c r="D39" s="244"/>
      <c r="E39" s="274"/>
      <c r="F39" s="244"/>
      <c r="G39" s="244"/>
      <c r="H39" s="244"/>
      <c r="I39" s="244"/>
      <c r="J39" s="244"/>
      <c r="K39" s="244"/>
      <c r="L39" s="244"/>
      <c r="M39" s="244"/>
    </row>
    <row r="40" spans="1:13" ht="13.5" thickBot="1">
      <c r="A40" s="244" t="s">
        <v>189</v>
      </c>
      <c r="B40" s="244"/>
      <c r="C40" s="244"/>
      <c r="D40" s="244"/>
      <c r="E40" s="274"/>
      <c r="F40" s="244"/>
      <c r="G40" s="244"/>
      <c r="H40" s="244"/>
      <c r="I40" s="244"/>
      <c r="J40" s="244"/>
      <c r="K40" s="244"/>
      <c r="L40" s="244"/>
      <c r="M40" s="244"/>
    </row>
    <row r="41" spans="1:13" ht="13.5" thickBot="1">
      <c r="A41" s="261" t="s">
        <v>695</v>
      </c>
      <c r="B41" s="244"/>
      <c r="C41" s="244"/>
      <c r="D41" s="244"/>
      <c r="E41" s="274"/>
      <c r="F41" s="244"/>
      <c r="G41" s="244"/>
      <c r="H41" s="244"/>
      <c r="I41" s="244"/>
      <c r="J41" s="244"/>
      <c r="K41" s="244"/>
      <c r="L41" s="244"/>
      <c r="M41" s="244"/>
    </row>
    <row r="44" spans="1:9" ht="15">
      <c r="A44" s="204" t="s">
        <v>533</v>
      </c>
      <c r="D44" s="215"/>
      <c r="F44" s="289" t="s">
        <v>980</v>
      </c>
      <c r="G44" s="215"/>
      <c r="H44" s="215"/>
      <c r="I44" s="215"/>
    </row>
    <row r="45" spans="1:4" ht="15">
      <c r="A45" s="204" t="s">
        <v>534</v>
      </c>
      <c r="D45" s="223" t="s">
        <v>655</v>
      </c>
    </row>
    <row r="48" spans="1:9" ht="15">
      <c r="A48" s="204" t="s">
        <v>535</v>
      </c>
      <c r="D48" s="215"/>
      <c r="F48" s="380" t="s">
        <v>915</v>
      </c>
      <c r="G48" s="215"/>
      <c r="H48" s="215"/>
      <c r="I48" s="215"/>
    </row>
    <row r="49" spans="1:4" ht="15">
      <c r="A49" s="204" t="s">
        <v>534</v>
      </c>
      <c r="D49" s="223" t="s">
        <v>655</v>
      </c>
    </row>
  </sheetData>
  <sheetProtection/>
  <mergeCells count="7">
    <mergeCell ref="A15:A16"/>
    <mergeCell ref="B15:E15"/>
    <mergeCell ref="F15:I15"/>
    <mergeCell ref="J15:M15"/>
    <mergeCell ref="A11:M11"/>
    <mergeCell ref="A12:M12"/>
    <mergeCell ref="A13:M13"/>
  </mergeCells>
  <printOptions/>
  <pageMargins left="0" right="0" top="0" bottom="0" header="0" footer="0"/>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O51"/>
  <sheetViews>
    <sheetView zoomScalePageLayoutView="0" workbookViewId="0" topLeftCell="A19">
      <selection activeCell="O30" sqref="O30"/>
    </sheetView>
  </sheetViews>
  <sheetFormatPr defaultColWidth="9.00390625" defaultRowHeight="12.75"/>
  <cols>
    <col min="2" max="2" width="26.875" style="0" customWidth="1"/>
    <col min="3" max="3" width="9.875" style="0" customWidth="1"/>
    <col min="4" max="4" width="11.75390625" style="278" customWidth="1"/>
    <col min="5" max="5" width="12.375" style="278" customWidth="1"/>
    <col min="6" max="6" width="18.125" style="288" customWidth="1"/>
    <col min="7" max="7" width="11.125" style="0" customWidth="1"/>
    <col min="8" max="8" width="12.375" style="0" customWidth="1"/>
    <col min="9" max="9" width="13.875" style="0" customWidth="1"/>
    <col min="10" max="10" width="12.375" style="0" customWidth="1"/>
    <col min="11" max="11" width="11.875" style="0" customWidth="1"/>
    <col min="12" max="12" width="13.875" style="0" customWidth="1"/>
    <col min="14" max="15" width="11.75390625" style="0" bestFit="1" customWidth="1"/>
  </cols>
  <sheetData>
    <row r="1" ht="15">
      <c r="I1" s="204" t="s">
        <v>697</v>
      </c>
    </row>
    <row r="3" ht="15">
      <c r="I3" s="204" t="s">
        <v>540</v>
      </c>
    </row>
    <row r="4" ht="15">
      <c r="I4" s="204" t="s">
        <v>541</v>
      </c>
    </row>
    <row r="5" ht="15">
      <c r="I5" s="204" t="s">
        <v>566</v>
      </c>
    </row>
    <row r="6" ht="15">
      <c r="I6" s="204" t="s">
        <v>698</v>
      </c>
    </row>
    <row r="7" ht="15">
      <c r="I7" s="204" t="s">
        <v>699</v>
      </c>
    </row>
    <row r="8" ht="15">
      <c r="I8" s="204" t="s">
        <v>700</v>
      </c>
    </row>
    <row r="9" ht="12.75">
      <c r="L9" s="378"/>
    </row>
    <row r="10" spans="1:12" ht="15.75">
      <c r="A10" s="735" t="s">
        <v>714</v>
      </c>
      <c r="B10" s="735"/>
      <c r="C10" s="735"/>
      <c r="D10" s="735"/>
      <c r="E10" s="735"/>
      <c r="F10" s="735"/>
      <c r="G10" s="735"/>
      <c r="H10" s="735"/>
      <c r="I10" s="735"/>
      <c r="J10" s="735"/>
      <c r="K10" s="735"/>
      <c r="L10" s="735"/>
    </row>
    <row r="11" spans="1:12" s="222" customFormat="1" ht="15.75">
      <c r="A11" s="751" t="s">
        <v>831</v>
      </c>
      <c r="B11" s="751"/>
      <c r="C11" s="751"/>
      <c r="D11" s="751"/>
      <c r="E11" s="751"/>
      <c r="F11" s="751"/>
      <c r="G11" s="751"/>
      <c r="H11" s="751"/>
      <c r="I11" s="751"/>
      <c r="J11" s="751"/>
      <c r="K11" s="751"/>
      <c r="L11" s="751"/>
    </row>
    <row r="12" spans="1:12" ht="12.75">
      <c r="A12" s="763" t="s">
        <v>701</v>
      </c>
      <c r="B12" s="763"/>
      <c r="C12" s="763"/>
      <c r="D12" s="763"/>
      <c r="E12" s="763"/>
      <c r="F12" s="763"/>
      <c r="G12" s="763"/>
      <c r="H12" s="763"/>
      <c r="I12" s="763"/>
      <c r="J12" s="763"/>
      <c r="K12" s="763"/>
      <c r="L12" s="763"/>
    </row>
    <row r="13" ht="13.5" thickBot="1"/>
    <row r="14" spans="1:12" ht="13.5" thickBot="1">
      <c r="A14" s="737" t="s">
        <v>570</v>
      </c>
      <c r="B14" s="728" t="s">
        <v>702</v>
      </c>
      <c r="C14" s="737" t="s">
        <v>543</v>
      </c>
      <c r="D14" s="766" t="s">
        <v>663</v>
      </c>
      <c r="E14" s="767"/>
      <c r="F14" s="768"/>
      <c r="G14" s="766" t="s">
        <v>664</v>
      </c>
      <c r="H14" s="767"/>
      <c r="I14" s="768"/>
      <c r="J14" s="766" t="s">
        <v>665</v>
      </c>
      <c r="K14" s="767"/>
      <c r="L14" s="768"/>
    </row>
    <row r="15" spans="1:12" ht="39" thickBot="1">
      <c r="A15" s="738"/>
      <c r="B15" s="729"/>
      <c r="C15" s="738"/>
      <c r="D15" s="207" t="s">
        <v>703</v>
      </c>
      <c r="E15" s="207" t="s">
        <v>704</v>
      </c>
      <c r="F15" s="287" t="s">
        <v>574</v>
      </c>
      <c r="G15" s="207" t="s">
        <v>703</v>
      </c>
      <c r="H15" s="207" t="s">
        <v>704</v>
      </c>
      <c r="I15" s="207" t="s">
        <v>574</v>
      </c>
      <c r="J15" s="207" t="s">
        <v>703</v>
      </c>
      <c r="K15" s="218" t="s">
        <v>704</v>
      </c>
      <c r="L15" s="208" t="s">
        <v>705</v>
      </c>
    </row>
    <row r="16" spans="1:12" s="279" customFormat="1" ht="26.25" thickBot="1">
      <c r="A16" s="256" t="s">
        <v>673</v>
      </c>
      <c r="B16" s="239" t="s">
        <v>674</v>
      </c>
      <c r="C16" s="259"/>
      <c r="D16" s="280"/>
      <c r="E16" s="280"/>
      <c r="F16" s="281">
        <f>F17+F18+F19+F20+F23+F22</f>
        <v>35000</v>
      </c>
      <c r="G16" s="259"/>
      <c r="H16" s="259"/>
      <c r="I16" s="281">
        <f>I17+I18+I19+I20+I22+I23</f>
        <v>25000</v>
      </c>
      <c r="J16" s="259"/>
      <c r="K16" s="258"/>
      <c r="L16" s="281" t="s">
        <v>897</v>
      </c>
    </row>
    <row r="17" spans="1:12" ht="26.25" thickBot="1">
      <c r="A17" s="212"/>
      <c r="B17" s="262" t="s">
        <v>834</v>
      </c>
      <c r="C17" s="285" t="s">
        <v>824</v>
      </c>
      <c r="D17" s="209"/>
      <c r="E17" s="209"/>
      <c r="F17" s="480">
        <v>5000</v>
      </c>
      <c r="G17" s="212"/>
      <c r="H17" s="212"/>
      <c r="I17" s="276">
        <v>5000</v>
      </c>
      <c r="J17" s="212"/>
      <c r="K17" s="210"/>
      <c r="L17" s="276">
        <v>5000</v>
      </c>
    </row>
    <row r="18" spans="1:12" ht="26.25" thickBot="1">
      <c r="A18" s="212"/>
      <c r="B18" s="262" t="s">
        <v>834</v>
      </c>
      <c r="C18" s="285" t="s">
        <v>825</v>
      </c>
      <c r="D18" s="209"/>
      <c r="E18" s="209"/>
      <c r="F18" s="480">
        <f>106.29+893.71</f>
        <v>1000</v>
      </c>
      <c r="G18" s="212"/>
      <c r="H18" s="212"/>
      <c r="I18" s="276">
        <f>106.29+893.71</f>
        <v>1000</v>
      </c>
      <c r="J18" s="212"/>
      <c r="K18" s="210"/>
      <c r="L18" s="276">
        <f>106.29+893.71</f>
        <v>1000</v>
      </c>
    </row>
    <row r="19" spans="1:12" ht="39" thickBot="1">
      <c r="A19" s="212"/>
      <c r="B19" s="262" t="s">
        <v>835</v>
      </c>
      <c r="C19" s="285" t="s">
        <v>824</v>
      </c>
      <c r="D19" s="209"/>
      <c r="E19" s="209"/>
      <c r="F19" s="480">
        <v>10000</v>
      </c>
      <c r="G19" s="213"/>
      <c r="H19" s="212"/>
      <c r="I19" s="276">
        <v>6000</v>
      </c>
      <c r="J19" s="212"/>
      <c r="K19" s="210"/>
      <c r="L19" s="276">
        <v>6000</v>
      </c>
    </row>
    <row r="20" spans="1:12" ht="39" thickBot="1">
      <c r="A20" s="212"/>
      <c r="B20" s="262" t="s">
        <v>835</v>
      </c>
      <c r="C20" s="285" t="s">
        <v>825</v>
      </c>
      <c r="D20" s="209"/>
      <c r="E20" s="209"/>
      <c r="F20" s="480">
        <v>3000</v>
      </c>
      <c r="G20" s="213"/>
      <c r="H20" s="212"/>
      <c r="I20" s="276">
        <v>3000</v>
      </c>
      <c r="J20" s="212"/>
      <c r="K20" s="210"/>
      <c r="L20" s="276">
        <v>3000</v>
      </c>
    </row>
    <row r="21" spans="1:12" ht="13.5" thickBot="1">
      <c r="A21" s="212"/>
      <c r="B21" s="220" t="s">
        <v>711</v>
      </c>
      <c r="C21" s="212"/>
      <c r="D21" s="209"/>
      <c r="E21" s="209"/>
      <c r="F21" s="480"/>
      <c r="G21" s="212"/>
      <c r="H21" s="212"/>
      <c r="I21" s="276"/>
      <c r="J21" s="212"/>
      <c r="K21" s="210"/>
      <c r="L21" s="276"/>
    </row>
    <row r="22" spans="1:12" ht="13.5" thickBot="1">
      <c r="A22" s="212"/>
      <c r="B22" s="220" t="s">
        <v>712</v>
      </c>
      <c r="C22" s="285" t="s">
        <v>824</v>
      </c>
      <c r="D22" s="209"/>
      <c r="E22" s="209"/>
      <c r="F22" s="480">
        <v>15000</v>
      </c>
      <c r="G22" s="212"/>
      <c r="H22" s="212"/>
      <c r="I22" s="276">
        <v>9000</v>
      </c>
      <c r="J22" s="212"/>
      <c r="K22" s="210"/>
      <c r="L22" s="276">
        <v>9000</v>
      </c>
    </row>
    <row r="23" spans="1:12" ht="13.5" thickBot="1">
      <c r="A23" s="212"/>
      <c r="B23" s="220" t="s">
        <v>712</v>
      </c>
      <c r="C23" s="285" t="s">
        <v>825</v>
      </c>
      <c r="D23" s="209"/>
      <c r="E23" s="209"/>
      <c r="F23" s="480">
        <v>1000</v>
      </c>
      <c r="G23" s="212"/>
      <c r="H23" s="212"/>
      <c r="I23" s="276">
        <v>1000</v>
      </c>
      <c r="J23" s="212"/>
      <c r="K23" s="210"/>
      <c r="L23" s="276">
        <v>1000</v>
      </c>
    </row>
    <row r="24" spans="1:12" ht="26.25" thickBot="1">
      <c r="A24" s="212"/>
      <c r="B24" s="211" t="s">
        <v>713</v>
      </c>
      <c r="C24" s="212"/>
      <c r="D24" s="209"/>
      <c r="E24" s="209"/>
      <c r="F24" s="276"/>
      <c r="G24" s="212"/>
      <c r="H24" s="212"/>
      <c r="I24" s="276"/>
      <c r="J24" s="212"/>
      <c r="K24" s="210"/>
      <c r="L24" s="276"/>
    </row>
    <row r="25" spans="1:12" s="279" customFormat="1" ht="13.5" thickBot="1">
      <c r="A25" s="257" t="s">
        <v>675</v>
      </c>
      <c r="B25" s="258" t="s">
        <v>676</v>
      </c>
      <c r="C25" s="291" t="s">
        <v>824</v>
      </c>
      <c r="D25" s="280"/>
      <c r="E25" s="280"/>
      <c r="F25" s="281">
        <f>F26+F27+F28+F29+F30+F31+F32+F33</f>
        <v>8267668.2</v>
      </c>
      <c r="G25" s="259"/>
      <c r="H25" s="259"/>
      <c r="I25" s="281">
        <f>I26+I27+I28+I29+I30+I31+I32+I33</f>
        <v>8277668.2</v>
      </c>
      <c r="J25" s="259"/>
      <c r="K25" s="258"/>
      <c r="L25" s="281">
        <f>L26+L27+L28+L29+L30+L31+L32+L33</f>
        <v>8277668.2</v>
      </c>
    </row>
    <row r="26" spans="1:15" ht="26.25" thickBot="1">
      <c r="A26" s="210"/>
      <c r="B26" s="211" t="s">
        <v>707</v>
      </c>
      <c r="C26" s="285" t="s">
        <v>824</v>
      </c>
      <c r="D26" s="209"/>
      <c r="E26" s="209"/>
      <c r="F26" s="276">
        <f>2039127-F19-F20-F38-F39</f>
        <v>2017668</v>
      </c>
      <c r="G26" s="210"/>
      <c r="H26" s="210"/>
      <c r="I26" s="276">
        <f>2039127-I19-I20-I38-I39</f>
        <v>2026668</v>
      </c>
      <c r="J26" s="210"/>
      <c r="K26" s="210"/>
      <c r="L26" s="276">
        <f>2039127-L19-L20-L38-L39</f>
        <v>2026668</v>
      </c>
      <c r="O26" s="294"/>
    </row>
    <row r="27" spans="1:12" ht="13.5" thickBot="1">
      <c r="A27" s="210"/>
      <c r="B27" s="229" t="s">
        <v>709</v>
      </c>
      <c r="C27" s="285" t="s">
        <v>824</v>
      </c>
      <c r="D27" s="209"/>
      <c r="E27" s="209"/>
      <c r="F27" s="276">
        <f>D27*E27</f>
        <v>0</v>
      </c>
      <c r="G27" s="210"/>
      <c r="H27" s="210"/>
      <c r="I27" s="276">
        <f>G27*H27</f>
        <v>0</v>
      </c>
      <c r="J27" s="210"/>
      <c r="K27" s="210"/>
      <c r="L27" s="276">
        <f>J27*K27</f>
        <v>0</v>
      </c>
    </row>
    <row r="28" spans="1:12" ht="26.25" thickBot="1">
      <c r="A28" s="210"/>
      <c r="B28" s="268" t="s">
        <v>827</v>
      </c>
      <c r="C28" s="285" t="s">
        <v>824</v>
      </c>
      <c r="D28" s="209"/>
      <c r="E28" s="209"/>
      <c r="F28" s="276">
        <f>E28*D28</f>
        <v>0</v>
      </c>
      <c r="G28" s="210"/>
      <c r="H28" s="210"/>
      <c r="I28" s="276">
        <f>H28*G28</f>
        <v>0</v>
      </c>
      <c r="J28" s="210"/>
      <c r="K28" s="210"/>
      <c r="L28" s="276">
        <f>K28*J28</f>
        <v>0</v>
      </c>
    </row>
    <row r="29" spans="1:15" ht="26.25" thickBot="1">
      <c r="A29" s="210"/>
      <c r="B29" s="268" t="s">
        <v>828</v>
      </c>
      <c r="C29" s="285" t="s">
        <v>824</v>
      </c>
      <c r="D29" s="209"/>
      <c r="E29" s="209"/>
      <c r="F29" s="276"/>
      <c r="G29" s="210"/>
      <c r="H29" s="210"/>
      <c r="I29" s="276"/>
      <c r="J29" s="210"/>
      <c r="K29" s="210"/>
      <c r="L29" s="276"/>
      <c r="O29" s="294"/>
    </row>
    <row r="30" spans="1:15" ht="39" thickBot="1">
      <c r="A30" s="210"/>
      <c r="B30" s="262" t="s">
        <v>826</v>
      </c>
      <c r="C30" s="285" t="s">
        <v>824</v>
      </c>
      <c r="D30" s="209"/>
      <c r="E30" s="209"/>
      <c r="F30" s="276">
        <f>2139142.2-F17-F18-F36</f>
        <v>2120142.2</v>
      </c>
      <c r="G30" s="210"/>
      <c r="H30" s="210"/>
      <c r="I30" s="276">
        <f>2139142.2-I17-I18-I36</f>
        <v>2128142.2</v>
      </c>
      <c r="J30" s="210"/>
      <c r="K30" s="210"/>
      <c r="L30" s="276">
        <f>2139142.2-L17-L18-L36</f>
        <v>2128142.2</v>
      </c>
      <c r="N30" s="294"/>
      <c r="O30" s="294"/>
    </row>
    <row r="31" spans="1:15" ht="26.25" thickBot="1">
      <c r="A31" s="210"/>
      <c r="B31" s="229" t="s">
        <v>708</v>
      </c>
      <c r="C31" s="285" t="s">
        <v>824</v>
      </c>
      <c r="D31" s="209"/>
      <c r="E31" s="209"/>
      <c r="F31" s="276"/>
      <c r="G31" s="210"/>
      <c r="H31" s="210"/>
      <c r="I31" s="276"/>
      <c r="J31" s="210"/>
      <c r="K31" s="210"/>
      <c r="L31" s="276"/>
      <c r="N31" s="294"/>
      <c r="O31" s="294"/>
    </row>
    <row r="32" spans="1:12" ht="13.5" thickBot="1">
      <c r="A32" s="210"/>
      <c r="B32" s="220" t="s">
        <v>711</v>
      </c>
      <c r="C32" s="285" t="s">
        <v>824</v>
      </c>
      <c r="D32" s="209"/>
      <c r="E32" s="209"/>
      <c r="F32" s="276"/>
      <c r="G32" s="210"/>
      <c r="H32" s="210"/>
      <c r="I32" s="276"/>
      <c r="J32" s="210"/>
      <c r="K32" s="210"/>
      <c r="L32" s="276"/>
    </row>
    <row r="33" spans="1:12" ht="13.5" thickBot="1">
      <c r="A33" s="210"/>
      <c r="B33" s="220" t="s">
        <v>712</v>
      </c>
      <c r="C33" s="285" t="s">
        <v>824</v>
      </c>
      <c r="D33" s="209"/>
      <c r="E33" s="209"/>
      <c r="F33" s="276">
        <f>4142858-F22-F23-F42+16000</f>
        <v>4129858</v>
      </c>
      <c r="G33" s="210"/>
      <c r="H33" s="210"/>
      <c r="I33" s="276">
        <f>4142858-I22-I23-I42</f>
        <v>4122858</v>
      </c>
      <c r="J33" s="210"/>
      <c r="K33" s="210"/>
      <c r="L33" s="276">
        <f>4142858-L22-L23-L42</f>
        <v>4122858</v>
      </c>
    </row>
    <row r="34" spans="1:12" ht="26.25" thickBot="1">
      <c r="A34" s="210"/>
      <c r="B34" s="211" t="s">
        <v>713</v>
      </c>
      <c r="C34" s="285" t="s">
        <v>824</v>
      </c>
      <c r="D34" s="209"/>
      <c r="E34" s="209"/>
      <c r="F34" s="276"/>
      <c r="G34" s="210"/>
      <c r="H34" s="210"/>
      <c r="I34" s="276"/>
      <c r="J34" s="210"/>
      <c r="K34" s="210"/>
      <c r="L34" s="276"/>
    </row>
    <row r="35" spans="1:12" s="279" customFormat="1" ht="39" thickBot="1">
      <c r="A35" s="257" t="s">
        <v>677</v>
      </c>
      <c r="B35" s="239" t="s">
        <v>678</v>
      </c>
      <c r="C35" s="291" t="s">
        <v>824</v>
      </c>
      <c r="D35" s="280"/>
      <c r="E35" s="280"/>
      <c r="F35" s="281">
        <f>F36+F38+F39+F42</f>
        <v>34459</v>
      </c>
      <c r="G35" s="258"/>
      <c r="H35" s="258"/>
      <c r="I35" s="281">
        <f>I36+I38+I39+I42</f>
        <v>18459</v>
      </c>
      <c r="J35" s="258"/>
      <c r="K35" s="258"/>
      <c r="L35" s="281">
        <f>L36+L38+L39+L42</f>
        <v>18459</v>
      </c>
    </row>
    <row r="36" spans="1:12" ht="26.25" thickBot="1">
      <c r="A36" s="210"/>
      <c r="B36" s="211" t="s">
        <v>706</v>
      </c>
      <c r="C36" s="285" t="s">
        <v>824</v>
      </c>
      <c r="D36" s="209"/>
      <c r="E36" s="209"/>
      <c r="F36" s="276">
        <f>5000+8000</f>
        <v>13000</v>
      </c>
      <c r="G36" s="210"/>
      <c r="H36" s="210"/>
      <c r="I36" s="276">
        <v>5000</v>
      </c>
      <c r="J36" s="210"/>
      <c r="K36" s="210"/>
      <c r="L36" s="276">
        <v>5000</v>
      </c>
    </row>
    <row r="37" spans="1:12" ht="26.25" thickBot="1">
      <c r="A37" s="210"/>
      <c r="B37" s="211" t="s">
        <v>707</v>
      </c>
      <c r="C37" s="285" t="s">
        <v>824</v>
      </c>
      <c r="D37" s="209"/>
      <c r="E37" s="209"/>
      <c r="F37" s="276"/>
      <c r="G37" s="210"/>
      <c r="H37" s="210"/>
      <c r="I37" s="276"/>
      <c r="J37" s="210"/>
      <c r="K37" s="210"/>
      <c r="L37" s="276"/>
    </row>
    <row r="38" spans="1:12" ht="26.25" thickBot="1">
      <c r="A38" s="210"/>
      <c r="B38" s="229" t="s">
        <v>708</v>
      </c>
      <c r="C38" s="285" t="s">
        <v>824</v>
      </c>
      <c r="D38" s="209"/>
      <c r="E38" s="209"/>
      <c r="F38" s="276">
        <v>4229.5</v>
      </c>
      <c r="G38" s="210"/>
      <c r="H38" s="210"/>
      <c r="I38" s="276">
        <v>1959</v>
      </c>
      <c r="J38" s="210"/>
      <c r="K38" s="210"/>
      <c r="L38" s="276">
        <v>1959</v>
      </c>
    </row>
    <row r="39" spans="1:12" ht="13.5" thickBot="1">
      <c r="A39" s="210"/>
      <c r="B39" s="229" t="s">
        <v>709</v>
      </c>
      <c r="C39" s="285" t="s">
        <v>824</v>
      </c>
      <c r="D39" s="209"/>
      <c r="E39" s="209"/>
      <c r="F39" s="276">
        <v>4229.5</v>
      </c>
      <c r="G39" s="210"/>
      <c r="H39" s="210"/>
      <c r="I39" s="276">
        <v>1500</v>
      </c>
      <c r="J39" s="210"/>
      <c r="K39" s="210"/>
      <c r="L39" s="276">
        <v>1500</v>
      </c>
    </row>
    <row r="40" spans="1:12" ht="13.5" thickBot="1">
      <c r="A40" s="210"/>
      <c r="B40" s="220" t="s">
        <v>710</v>
      </c>
      <c r="C40" s="285" t="s">
        <v>824</v>
      </c>
      <c r="D40" s="209"/>
      <c r="E40" s="209"/>
      <c r="F40" s="276"/>
      <c r="G40" s="210"/>
      <c r="H40" s="210"/>
      <c r="I40" s="276"/>
      <c r="J40" s="210"/>
      <c r="K40" s="210"/>
      <c r="L40" s="276"/>
    </row>
    <row r="41" spans="1:12" ht="13.5" thickBot="1">
      <c r="A41" s="210"/>
      <c r="B41" s="220" t="s">
        <v>711</v>
      </c>
      <c r="C41" s="285" t="s">
        <v>824</v>
      </c>
      <c r="D41" s="209"/>
      <c r="E41" s="209"/>
      <c r="F41" s="276"/>
      <c r="G41" s="210"/>
      <c r="H41" s="210"/>
      <c r="I41" s="276"/>
      <c r="J41" s="210"/>
      <c r="K41" s="210"/>
      <c r="L41" s="276"/>
    </row>
    <row r="42" spans="1:12" ht="13.5" thickBot="1">
      <c r="A42" s="210"/>
      <c r="B42" s="220" t="s">
        <v>712</v>
      </c>
      <c r="C42" s="285" t="s">
        <v>824</v>
      </c>
      <c r="D42" s="209"/>
      <c r="E42" s="209"/>
      <c r="F42" s="276">
        <f>5000+8000</f>
        <v>13000</v>
      </c>
      <c r="G42" s="210"/>
      <c r="H42" s="210"/>
      <c r="I42" s="276">
        <v>10000</v>
      </c>
      <c r="J42" s="210"/>
      <c r="K42" s="210"/>
      <c r="L42" s="276">
        <v>10000</v>
      </c>
    </row>
    <row r="43" spans="1:12" ht="26.25" thickBot="1">
      <c r="A43" s="210"/>
      <c r="B43" s="211" t="s">
        <v>713</v>
      </c>
      <c r="C43" s="285" t="s">
        <v>824</v>
      </c>
      <c r="D43" s="209"/>
      <c r="E43" s="209"/>
      <c r="F43" s="276"/>
      <c r="G43" s="210"/>
      <c r="H43" s="210"/>
      <c r="I43" s="276"/>
      <c r="J43" s="210"/>
      <c r="K43" s="210"/>
      <c r="L43" s="276"/>
    </row>
    <row r="44" spans="1:12" ht="13.5" thickBot="1">
      <c r="A44" s="764" t="s">
        <v>715</v>
      </c>
      <c r="B44" s="765"/>
      <c r="C44" s="210"/>
      <c r="D44" s="209"/>
      <c r="E44" s="209"/>
      <c r="F44" s="276"/>
      <c r="G44" s="210"/>
      <c r="H44" s="210"/>
      <c r="I44" s="210"/>
      <c r="J44" s="210"/>
      <c r="K44" s="210"/>
      <c r="L44" s="210"/>
    </row>
    <row r="46" spans="1:9" ht="15">
      <c r="A46" s="204" t="s">
        <v>533</v>
      </c>
      <c r="D46" s="286"/>
      <c r="E46" s="359" t="s">
        <v>980</v>
      </c>
      <c r="F46" s="289"/>
      <c r="G46" s="215"/>
      <c r="H46" s="215"/>
      <c r="I46" s="215"/>
    </row>
    <row r="47" spans="1:4" ht="15">
      <c r="A47" s="204" t="s">
        <v>534</v>
      </c>
      <c r="D47" s="236" t="s">
        <v>655</v>
      </c>
    </row>
    <row r="50" spans="1:9" ht="15">
      <c r="A50" s="204" t="s">
        <v>535</v>
      </c>
      <c r="D50" s="286"/>
      <c r="E50" s="380" t="s">
        <v>915</v>
      </c>
      <c r="F50" s="289"/>
      <c r="G50" s="215"/>
      <c r="H50" s="215"/>
      <c r="I50" s="215"/>
    </row>
    <row r="51" spans="1:4" ht="15">
      <c r="A51" s="204" t="s">
        <v>534</v>
      </c>
      <c r="D51" s="236" t="s">
        <v>655</v>
      </c>
    </row>
  </sheetData>
  <sheetProtection/>
  <mergeCells count="10">
    <mergeCell ref="A44:B44"/>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L70"/>
  <sheetViews>
    <sheetView zoomScalePageLayoutView="0" workbookViewId="0" topLeftCell="A30">
      <selection activeCell="F44" sqref="F44"/>
    </sheetView>
  </sheetViews>
  <sheetFormatPr defaultColWidth="9.00390625" defaultRowHeight="12.75"/>
  <cols>
    <col min="2" max="2" width="28.75390625" style="0" customWidth="1"/>
    <col min="3" max="3" width="11.25390625" style="0" customWidth="1"/>
    <col min="4" max="5" width="13.00390625" style="0" customWidth="1"/>
    <col min="6" max="6" width="14.75390625" style="288" customWidth="1"/>
    <col min="7" max="12" width="13.00390625" style="0" customWidth="1"/>
  </cols>
  <sheetData>
    <row r="1" ht="12.75">
      <c r="I1" s="204" t="s">
        <v>716</v>
      </c>
    </row>
    <row r="3" ht="12.75">
      <c r="I3" s="204" t="s">
        <v>717</v>
      </c>
    </row>
    <row r="4" ht="12.75">
      <c r="I4" s="204" t="s">
        <v>718</v>
      </c>
    </row>
    <row r="5" ht="12.75">
      <c r="I5" s="204" t="s">
        <v>719</v>
      </c>
    </row>
    <row r="6" ht="12.75">
      <c r="I6" s="204" t="s">
        <v>720</v>
      </c>
    </row>
    <row r="7" ht="12.75">
      <c r="I7" s="204" t="s">
        <v>721</v>
      </c>
    </row>
    <row r="8" ht="12.75">
      <c r="I8" s="204" t="s">
        <v>722</v>
      </c>
    </row>
    <row r="10" spans="1:12" ht="15.75">
      <c r="A10" s="735" t="s">
        <v>759</v>
      </c>
      <c r="B10" s="735"/>
      <c r="C10" s="735"/>
      <c r="D10" s="735"/>
      <c r="E10" s="735"/>
      <c r="F10" s="735"/>
      <c r="G10" s="735"/>
      <c r="H10" s="735"/>
      <c r="I10" s="735"/>
      <c r="J10" s="735"/>
      <c r="K10" s="735"/>
      <c r="L10" s="735"/>
    </row>
    <row r="11" spans="1:12" s="222" customFormat="1" ht="15.75">
      <c r="A11" s="751" t="s">
        <v>831</v>
      </c>
      <c r="B11" s="751"/>
      <c r="C11" s="751"/>
      <c r="D11" s="751"/>
      <c r="E11" s="751"/>
      <c r="F11" s="751"/>
      <c r="G11" s="751"/>
      <c r="H11" s="751"/>
      <c r="I11" s="751"/>
      <c r="J11" s="751"/>
      <c r="K11" s="751"/>
      <c r="L11" s="751"/>
    </row>
    <row r="12" spans="1:12" ht="12.75">
      <c r="A12" s="763" t="s">
        <v>723</v>
      </c>
      <c r="B12" s="763"/>
      <c r="C12" s="763"/>
      <c r="D12" s="763"/>
      <c r="E12" s="763"/>
      <c r="F12" s="763"/>
      <c r="G12" s="763"/>
      <c r="H12" s="763"/>
      <c r="I12" s="763"/>
      <c r="J12" s="763"/>
      <c r="K12" s="763"/>
      <c r="L12" s="763"/>
    </row>
    <row r="13" ht="13.5" thickBot="1"/>
    <row r="14" spans="1:12" ht="13.5" thickBot="1">
      <c r="A14" s="771" t="s">
        <v>660</v>
      </c>
      <c r="B14" s="773" t="s">
        <v>724</v>
      </c>
      <c r="C14" s="773" t="s">
        <v>725</v>
      </c>
      <c r="D14" s="759" t="s">
        <v>726</v>
      </c>
      <c r="E14" s="760"/>
      <c r="F14" s="761"/>
      <c r="G14" s="759" t="s">
        <v>727</v>
      </c>
      <c r="H14" s="760"/>
      <c r="I14" s="761"/>
      <c r="J14" s="759" t="s">
        <v>728</v>
      </c>
      <c r="K14" s="760"/>
      <c r="L14" s="761"/>
    </row>
    <row r="15" spans="1:12" ht="26.25" thickBot="1">
      <c r="A15" s="772"/>
      <c r="B15" s="772"/>
      <c r="C15" s="772"/>
      <c r="D15" s="245" t="s">
        <v>729</v>
      </c>
      <c r="E15" s="241" t="s">
        <v>730</v>
      </c>
      <c r="F15" s="273" t="s">
        <v>731</v>
      </c>
      <c r="G15" s="245" t="s">
        <v>729</v>
      </c>
      <c r="H15" s="241" t="s">
        <v>730</v>
      </c>
      <c r="I15" s="241" t="s">
        <v>731</v>
      </c>
      <c r="J15" s="245" t="s">
        <v>729</v>
      </c>
      <c r="K15" s="240" t="s">
        <v>730</v>
      </c>
      <c r="L15" s="241" t="s">
        <v>731</v>
      </c>
    </row>
    <row r="16" spans="1:12" s="279" customFormat="1" ht="26.25" thickBot="1">
      <c r="A16" s="257" t="s">
        <v>753</v>
      </c>
      <c r="B16" s="260" t="s">
        <v>754</v>
      </c>
      <c r="C16" s="259"/>
      <c r="D16" s="258"/>
      <c r="E16" s="259"/>
      <c r="F16" s="281">
        <f>F18+F23</f>
        <v>187332.61</v>
      </c>
      <c r="G16" s="258"/>
      <c r="H16" s="259"/>
      <c r="I16" s="362">
        <f>I18+I23</f>
        <v>171308</v>
      </c>
      <c r="J16" s="259"/>
      <c r="K16" s="258"/>
      <c r="L16" s="362">
        <f>L18+L23</f>
        <v>171308</v>
      </c>
    </row>
    <row r="17" spans="1:12" ht="26.25" thickBot="1">
      <c r="A17" s="261" t="s">
        <v>732</v>
      </c>
      <c r="B17" s="243" t="s">
        <v>733</v>
      </c>
      <c r="C17" s="242"/>
      <c r="D17" s="244"/>
      <c r="E17" s="242"/>
      <c r="F17" s="274"/>
      <c r="G17" s="244"/>
      <c r="H17" s="242"/>
      <c r="I17" s="242"/>
      <c r="J17" s="242"/>
      <c r="K17" s="244"/>
      <c r="L17" s="242"/>
    </row>
    <row r="18" spans="1:12" ht="26.25" thickBot="1">
      <c r="A18" s="244"/>
      <c r="B18" s="243" t="s">
        <v>734</v>
      </c>
      <c r="C18" s="285" t="s">
        <v>824</v>
      </c>
      <c r="D18" s="244"/>
      <c r="E18" s="242"/>
      <c r="F18" s="274">
        <v>60332.61</v>
      </c>
      <c r="G18" s="244"/>
      <c r="H18" s="242"/>
      <c r="I18" s="274">
        <f>60280*110%</f>
        <v>66308</v>
      </c>
      <c r="J18" s="242"/>
      <c r="K18" s="244"/>
      <c r="L18" s="274">
        <f>60280*110%</f>
        <v>66308</v>
      </c>
    </row>
    <row r="19" spans="1:12" ht="26.25" thickBot="1">
      <c r="A19" s="244"/>
      <c r="B19" s="246" t="s">
        <v>735</v>
      </c>
      <c r="C19" s="242"/>
      <c r="D19" s="244"/>
      <c r="E19" s="242"/>
      <c r="F19" s="274"/>
      <c r="G19" s="244"/>
      <c r="H19" s="242"/>
      <c r="I19" s="274"/>
      <c r="J19" s="242"/>
      <c r="K19" s="244"/>
      <c r="L19" s="274"/>
    </row>
    <row r="20" spans="1:12" ht="39" thickBot="1">
      <c r="A20" s="244"/>
      <c r="B20" s="246" t="s">
        <v>736</v>
      </c>
      <c r="C20" s="242"/>
      <c r="D20" s="244"/>
      <c r="E20" s="242"/>
      <c r="F20" s="274"/>
      <c r="G20" s="244"/>
      <c r="H20" s="242"/>
      <c r="I20" s="274"/>
      <c r="J20" s="242"/>
      <c r="K20" s="244"/>
      <c r="L20" s="274"/>
    </row>
    <row r="21" spans="1:12" ht="43.5" customHeight="1" thickBot="1">
      <c r="A21" s="261" t="s">
        <v>737</v>
      </c>
      <c r="B21" s="243" t="s">
        <v>738</v>
      </c>
      <c r="C21" s="242"/>
      <c r="D21" s="244"/>
      <c r="E21" s="242"/>
      <c r="F21" s="274"/>
      <c r="G21" s="244"/>
      <c r="H21" s="242"/>
      <c r="I21" s="274"/>
      <c r="J21" s="242"/>
      <c r="K21" s="244"/>
      <c r="L21" s="274"/>
    </row>
    <row r="22" spans="1:12" ht="102.75" thickBot="1">
      <c r="A22" s="244"/>
      <c r="B22" s="265" t="s">
        <v>760</v>
      </c>
      <c r="C22" s="242"/>
      <c r="D22" s="244"/>
      <c r="E22" s="242"/>
      <c r="F22" s="274"/>
      <c r="G22" s="244"/>
      <c r="H22" s="242"/>
      <c r="I22" s="274"/>
      <c r="J22" s="242"/>
      <c r="K22" s="244"/>
      <c r="L22" s="274"/>
    </row>
    <row r="23" spans="1:12" ht="39" thickBot="1">
      <c r="A23" s="261" t="s">
        <v>666</v>
      </c>
      <c r="B23" s="246" t="s">
        <v>740</v>
      </c>
      <c r="C23" s="285" t="s">
        <v>825</v>
      </c>
      <c r="D23" s="244"/>
      <c r="E23" s="244"/>
      <c r="F23" s="274">
        <v>127000</v>
      </c>
      <c r="G23" s="244"/>
      <c r="H23" s="244"/>
      <c r="I23" s="274">
        <v>105000</v>
      </c>
      <c r="J23" s="244"/>
      <c r="K23" s="244"/>
      <c r="L23" s="274">
        <v>105000</v>
      </c>
    </row>
    <row r="24" spans="1:12" ht="13.5" thickBot="1">
      <c r="A24" s="263" t="s">
        <v>741</v>
      </c>
      <c r="B24" s="247" t="s">
        <v>742</v>
      </c>
      <c r="C24" s="244"/>
      <c r="D24" s="244"/>
      <c r="E24" s="244"/>
      <c r="F24" s="274"/>
      <c r="G24" s="244"/>
      <c r="H24" s="244"/>
      <c r="I24" s="274"/>
      <c r="J24" s="244"/>
      <c r="K24" s="244"/>
      <c r="L24" s="274"/>
    </row>
    <row r="25" spans="1:12" ht="26.25" thickBot="1">
      <c r="A25" s="261" t="s">
        <v>743</v>
      </c>
      <c r="B25" s="246" t="s">
        <v>744</v>
      </c>
      <c r="C25" s="244"/>
      <c r="D25" s="244"/>
      <c r="E25" s="244"/>
      <c r="F25" s="274"/>
      <c r="G25" s="244"/>
      <c r="H25" s="244"/>
      <c r="I25" s="274"/>
      <c r="J25" s="244"/>
      <c r="K25" s="244"/>
      <c r="L25" s="274"/>
    </row>
    <row r="26" spans="1:12" ht="33" customHeight="1" thickBot="1">
      <c r="A26" s="242"/>
      <c r="B26" s="249" t="s">
        <v>745</v>
      </c>
      <c r="C26" s="244"/>
      <c r="D26" s="244"/>
      <c r="E26" s="244"/>
      <c r="F26" s="274"/>
      <c r="G26" s="244"/>
      <c r="H26" s="244"/>
      <c r="I26" s="274"/>
      <c r="J26" s="244"/>
      <c r="K26" s="244"/>
      <c r="L26" s="274"/>
    </row>
    <row r="27" spans="1:12" ht="77.25" thickBot="1">
      <c r="A27" s="255"/>
      <c r="B27" s="246" t="s">
        <v>746</v>
      </c>
      <c r="C27" s="244"/>
      <c r="D27" s="244"/>
      <c r="E27" s="244"/>
      <c r="F27" s="274"/>
      <c r="G27" s="244"/>
      <c r="H27" s="244"/>
      <c r="I27" s="274"/>
      <c r="J27" s="244"/>
      <c r="K27" s="244"/>
      <c r="L27" s="274"/>
    </row>
    <row r="28" spans="1:12" ht="26.25" thickBot="1">
      <c r="A28" s="242"/>
      <c r="B28" s="246" t="s">
        <v>747</v>
      </c>
      <c r="C28" s="244"/>
      <c r="D28" s="244"/>
      <c r="E28" s="244"/>
      <c r="F28" s="274"/>
      <c r="G28" s="244"/>
      <c r="H28" s="244"/>
      <c r="I28" s="274"/>
      <c r="J28" s="244"/>
      <c r="K28" s="244"/>
      <c r="L28" s="274"/>
    </row>
    <row r="29" spans="1:12" ht="22.5" customHeight="1" thickBot="1">
      <c r="A29" s="245" t="s">
        <v>748</v>
      </c>
      <c r="B29" s="243" t="s">
        <v>749</v>
      </c>
      <c r="C29" s="244"/>
      <c r="D29" s="244"/>
      <c r="E29" s="244"/>
      <c r="F29" s="274"/>
      <c r="G29" s="244"/>
      <c r="H29" s="244"/>
      <c r="I29" s="274"/>
      <c r="J29" s="244"/>
      <c r="K29" s="244"/>
      <c r="L29" s="274"/>
    </row>
    <row r="30" spans="1:12" ht="13.5" thickBot="1">
      <c r="A30" s="242"/>
      <c r="B30" s="244" t="s">
        <v>189</v>
      </c>
      <c r="C30" s="244"/>
      <c r="D30" s="244"/>
      <c r="E30" s="244"/>
      <c r="F30" s="274"/>
      <c r="G30" s="244"/>
      <c r="H30" s="244"/>
      <c r="I30" s="274"/>
      <c r="J30" s="244"/>
      <c r="K30" s="244"/>
      <c r="L30" s="274"/>
    </row>
    <row r="31" spans="1:12" s="279" customFormat="1" ht="13.5" thickBot="1">
      <c r="A31" s="257" t="s">
        <v>755</v>
      </c>
      <c r="B31" s="258" t="s">
        <v>756</v>
      </c>
      <c r="C31" s="291" t="s">
        <v>824</v>
      </c>
      <c r="D31" s="258"/>
      <c r="E31" s="258"/>
      <c r="F31" s="281">
        <f>F32+F36+F39+F41</f>
        <v>8065000</v>
      </c>
      <c r="G31" s="258"/>
      <c r="H31" s="258"/>
      <c r="I31" s="281">
        <f>I32+I36+I39+I41</f>
        <v>9986944.000000002</v>
      </c>
      <c r="J31" s="258"/>
      <c r="K31" s="258"/>
      <c r="L31" s="281">
        <f>L32+L36+L39+L41</f>
        <v>9986944.000000002</v>
      </c>
    </row>
    <row r="32" spans="1:12" ht="26.25" thickBot="1">
      <c r="A32" s="261" t="s">
        <v>732</v>
      </c>
      <c r="B32" s="243" t="s">
        <v>733</v>
      </c>
      <c r="C32" s="285" t="s">
        <v>824</v>
      </c>
      <c r="D32" s="244"/>
      <c r="E32" s="244"/>
      <c r="F32" s="274">
        <f>F33+F34+F35</f>
        <v>1104418.85</v>
      </c>
      <c r="G32" s="244"/>
      <c r="H32" s="244"/>
      <c r="I32" s="274">
        <f>I33+I34+I35</f>
        <v>1230303.8</v>
      </c>
      <c r="J32" s="244"/>
      <c r="K32" s="244"/>
      <c r="L32" s="274">
        <f>L33+L34+L35</f>
        <v>1230303.8</v>
      </c>
    </row>
    <row r="33" spans="1:12" ht="26.25" thickBot="1">
      <c r="A33" s="242"/>
      <c r="B33" s="243" t="s">
        <v>734</v>
      </c>
      <c r="C33" s="285" t="s">
        <v>824</v>
      </c>
      <c r="D33" s="244"/>
      <c r="E33" s="244"/>
      <c r="F33" s="274">
        <v>927303.85</v>
      </c>
      <c r="G33" s="244"/>
      <c r="H33" s="244"/>
      <c r="I33" s="274">
        <f>(8000+66000+61634+791709)*110%</f>
        <v>1020077.3</v>
      </c>
      <c r="J33" s="244"/>
      <c r="K33" s="244"/>
      <c r="L33" s="274">
        <f>(8000+66000+61634+791709)*110%</f>
        <v>1020077.3</v>
      </c>
    </row>
    <row r="34" spans="1:12" ht="26.25" thickBot="1">
      <c r="A34" s="250"/>
      <c r="B34" s="246" t="s">
        <v>750</v>
      </c>
      <c r="C34" s="285" t="s">
        <v>824</v>
      </c>
      <c r="D34" s="244">
        <v>12</v>
      </c>
      <c r="E34" s="244">
        <f>F34/D34</f>
        <v>7662.5</v>
      </c>
      <c r="F34" s="274">
        <v>91950</v>
      </c>
      <c r="G34" s="244"/>
      <c r="H34" s="244"/>
      <c r="I34" s="274">
        <f>91950*110%</f>
        <v>101145.00000000001</v>
      </c>
      <c r="J34" s="244"/>
      <c r="K34" s="244"/>
      <c r="L34" s="274">
        <f>91950*110%</f>
        <v>101145.00000000001</v>
      </c>
    </row>
    <row r="35" spans="1:12" ht="39" thickBot="1">
      <c r="A35" s="250"/>
      <c r="B35" s="246" t="s">
        <v>736</v>
      </c>
      <c r="C35" s="285" t="s">
        <v>824</v>
      </c>
      <c r="D35" s="244">
        <v>12</v>
      </c>
      <c r="E35" s="244">
        <f>F35/D35</f>
        <v>7097.083333333333</v>
      </c>
      <c r="F35" s="274">
        <f>9860+7790+980+66535</f>
        <v>85165</v>
      </c>
      <c r="G35" s="244"/>
      <c r="H35" s="244"/>
      <c r="I35" s="274">
        <f>(9860+7790+4980+10000+66535)*110%</f>
        <v>109081.50000000001</v>
      </c>
      <c r="J35" s="244"/>
      <c r="K35" s="244"/>
      <c r="L35" s="274">
        <f>(9860+7790+4980+10000+66535)*110%</f>
        <v>109081.50000000001</v>
      </c>
    </row>
    <row r="36" spans="1:12" ht="39" thickBot="1">
      <c r="A36" s="261" t="s">
        <v>737</v>
      </c>
      <c r="B36" s="243" t="s">
        <v>738</v>
      </c>
      <c r="C36" s="285" t="s">
        <v>824</v>
      </c>
      <c r="D36" s="244"/>
      <c r="E36" s="244"/>
      <c r="F36" s="274">
        <f>F37</f>
        <v>58800</v>
      </c>
      <c r="G36" s="244"/>
      <c r="H36" s="244"/>
      <c r="I36" s="274">
        <f>I37</f>
        <v>64680.00000000001</v>
      </c>
      <c r="J36" s="244"/>
      <c r="K36" s="244"/>
      <c r="L36" s="274">
        <f>L37</f>
        <v>64680.00000000001</v>
      </c>
    </row>
    <row r="37" spans="1:12" ht="13.5" thickBot="1">
      <c r="A37" s="250"/>
      <c r="B37" s="265" t="s">
        <v>762</v>
      </c>
      <c r="C37" s="285" t="s">
        <v>824</v>
      </c>
      <c r="D37" s="244"/>
      <c r="E37" s="244"/>
      <c r="F37" s="274">
        <f>58800</f>
        <v>58800</v>
      </c>
      <c r="G37" s="244"/>
      <c r="H37" s="244"/>
      <c r="I37" s="274">
        <f>58800*110%</f>
        <v>64680.00000000001</v>
      </c>
      <c r="J37" s="244"/>
      <c r="K37" s="244"/>
      <c r="L37" s="274">
        <f>58800*110%</f>
        <v>64680.00000000001</v>
      </c>
    </row>
    <row r="38" spans="1:12" ht="90" thickBot="1">
      <c r="A38" s="250"/>
      <c r="B38" s="266" t="s">
        <v>761</v>
      </c>
      <c r="C38" s="285" t="s">
        <v>824</v>
      </c>
      <c r="D38" s="244"/>
      <c r="E38" s="244"/>
      <c r="F38" s="274"/>
      <c r="G38" s="244"/>
      <c r="H38" s="244"/>
      <c r="I38" s="274"/>
      <c r="J38" s="244"/>
      <c r="K38" s="244"/>
      <c r="L38" s="274"/>
    </row>
    <row r="39" spans="1:12" ht="39" thickBot="1">
      <c r="A39" s="261" t="s">
        <v>666</v>
      </c>
      <c r="B39" s="246" t="s">
        <v>740</v>
      </c>
      <c r="C39" s="285" t="s">
        <v>824</v>
      </c>
      <c r="D39" s="244"/>
      <c r="E39" s="244"/>
      <c r="F39" s="274">
        <f>41030+93786</f>
        <v>134816</v>
      </c>
      <c r="G39" s="244"/>
      <c r="H39" s="244"/>
      <c r="I39" s="274">
        <f>(41030+93786)*110%</f>
        <v>148297.6</v>
      </c>
      <c r="J39" s="244"/>
      <c r="K39" s="244"/>
      <c r="L39" s="274">
        <f>(41030+93786)*110%</f>
        <v>148297.6</v>
      </c>
    </row>
    <row r="40" spans="1:12" ht="13.5" thickBot="1">
      <c r="A40" s="263" t="s">
        <v>741</v>
      </c>
      <c r="B40" s="247" t="s">
        <v>742</v>
      </c>
      <c r="C40" s="285" t="s">
        <v>824</v>
      </c>
      <c r="D40" s="244"/>
      <c r="E40" s="244"/>
      <c r="F40" s="274"/>
      <c r="G40" s="244"/>
      <c r="H40" s="244"/>
      <c r="I40" s="274"/>
      <c r="J40" s="244"/>
      <c r="K40" s="244"/>
      <c r="L40" s="274"/>
    </row>
    <row r="41" spans="1:12" ht="26.25" thickBot="1">
      <c r="A41" s="261" t="s">
        <v>743</v>
      </c>
      <c r="B41" s="246" t="s">
        <v>744</v>
      </c>
      <c r="C41" s="285" t="s">
        <v>824</v>
      </c>
      <c r="D41" s="244"/>
      <c r="E41" s="244"/>
      <c r="F41" s="274">
        <f>F42+F43+F44</f>
        <v>6766965.149999999</v>
      </c>
      <c r="G41" s="244"/>
      <c r="H41" s="244"/>
      <c r="I41" s="274">
        <f>I42+I43+I44</f>
        <v>8543662.600000001</v>
      </c>
      <c r="J41" s="244"/>
      <c r="K41" s="244"/>
      <c r="L41" s="274">
        <f>L42+L43+L44</f>
        <v>8543662.600000001</v>
      </c>
    </row>
    <row r="42" spans="1:12" ht="26.25" thickBot="1">
      <c r="A42" s="250"/>
      <c r="B42" s="265" t="s">
        <v>763</v>
      </c>
      <c r="C42" s="285" t="s">
        <v>824</v>
      </c>
      <c r="D42" s="244"/>
      <c r="E42" s="244"/>
      <c r="F42" s="274">
        <f>2500+114840+2770+9750+16210+8051.34+352653.63+9800</f>
        <v>516574.97</v>
      </c>
      <c r="G42" s="244"/>
      <c r="H42" s="244"/>
      <c r="I42" s="274">
        <f>(2500+114840+2770+9750+16210+8051+352654+9800)*110%</f>
        <v>568232.5</v>
      </c>
      <c r="J42" s="244"/>
      <c r="K42" s="244"/>
      <c r="L42" s="274">
        <f>(2500+114840+2770+9750+16210+8051+352654+9800)*110%</f>
        <v>568232.5</v>
      </c>
    </row>
    <row r="43" spans="1:12" ht="77.25" thickBot="1">
      <c r="A43" s="250"/>
      <c r="B43" s="265" t="s">
        <v>764</v>
      </c>
      <c r="C43" s="285" t="s">
        <v>824</v>
      </c>
      <c r="D43" s="244"/>
      <c r="E43" s="244"/>
      <c r="F43" s="274">
        <f>202383.5+64500+296800+178180+18240+9800+146240+22694.76+4088610.26+32800+1713817+9400+436288+2063.16+21973.5+6600-1000000</f>
        <v>6250390.18</v>
      </c>
      <c r="G43" s="244"/>
      <c r="H43" s="244"/>
      <c r="I43" s="274">
        <f>(202384+64500+296800+178180+18240+9800+146240+22695+4088610+32800+1713817+9400+436288+2063+21974+6600)*110%</f>
        <v>7975430.100000001</v>
      </c>
      <c r="J43" s="244"/>
      <c r="K43" s="244"/>
      <c r="L43" s="274">
        <f>(202384+64500+296800+178180+18240+9800+146240+22695+4088610+32800+1713817+9400+436288+2063+21974+6600)*110%</f>
        <v>7975430.100000001</v>
      </c>
    </row>
    <row r="44" spans="1:12" ht="26.25" thickBot="1">
      <c r="A44" s="244"/>
      <c r="B44" s="246" t="s">
        <v>747</v>
      </c>
      <c r="C44" s="285" t="s">
        <v>824</v>
      </c>
      <c r="D44" s="244"/>
      <c r="E44" s="244"/>
      <c r="F44" s="274"/>
      <c r="G44" s="244"/>
      <c r="H44" s="244"/>
      <c r="I44" s="274"/>
      <c r="J44" s="244"/>
      <c r="K44" s="244"/>
      <c r="L44" s="274"/>
    </row>
    <row r="45" spans="1:12" ht="13.5" thickBot="1">
      <c r="A45" s="245" t="s">
        <v>748</v>
      </c>
      <c r="B45" s="243" t="s">
        <v>749</v>
      </c>
      <c r="C45" s="285" t="s">
        <v>824</v>
      </c>
      <c r="D45" s="244"/>
      <c r="E45" s="244"/>
      <c r="F45" s="274"/>
      <c r="G45" s="244"/>
      <c r="H45" s="244"/>
      <c r="I45" s="274"/>
      <c r="J45" s="244"/>
      <c r="K45" s="244"/>
      <c r="L45" s="274"/>
    </row>
    <row r="46" spans="1:12" ht="13.5" thickBot="1">
      <c r="A46" s="244"/>
      <c r="B46" s="247" t="s">
        <v>189</v>
      </c>
      <c r="C46" s="285" t="s">
        <v>824</v>
      </c>
      <c r="D46" s="244"/>
      <c r="E46" s="244"/>
      <c r="F46" s="274"/>
      <c r="G46" s="244"/>
      <c r="H46" s="244"/>
      <c r="I46" s="274"/>
      <c r="J46" s="244"/>
      <c r="K46" s="244"/>
      <c r="L46" s="274"/>
    </row>
    <row r="47" spans="1:12" s="279" customFormat="1" ht="39" thickBot="1">
      <c r="A47" s="257" t="s">
        <v>757</v>
      </c>
      <c r="B47" s="239" t="s">
        <v>758</v>
      </c>
      <c r="C47" s="292"/>
      <c r="D47" s="258"/>
      <c r="E47" s="258"/>
      <c r="F47" s="281">
        <f>F50+F51+F60+F58+F59</f>
        <v>22000</v>
      </c>
      <c r="G47" s="258"/>
      <c r="H47" s="258"/>
      <c r="I47" s="281">
        <f>I50+I51+I60+I58</f>
        <v>13200</v>
      </c>
      <c r="J47" s="258"/>
      <c r="K47" s="258"/>
      <c r="L47" s="281">
        <f>L50+L51+L60+L58</f>
        <v>12000</v>
      </c>
    </row>
    <row r="48" spans="1:12" ht="26.25" thickBot="1">
      <c r="A48" s="261" t="s">
        <v>732</v>
      </c>
      <c r="B48" s="243" t="s">
        <v>733</v>
      </c>
      <c r="C48" s="290"/>
      <c r="D48" s="244"/>
      <c r="E48" s="244"/>
      <c r="F48" s="274"/>
      <c r="G48" s="244"/>
      <c r="H48" s="244"/>
      <c r="I48" s="274"/>
      <c r="J48" s="244"/>
      <c r="K48" s="244"/>
      <c r="L48" s="274"/>
    </row>
    <row r="49" spans="1:12" ht="26.25" thickBot="1">
      <c r="A49" s="244"/>
      <c r="B49" s="243" t="s">
        <v>734</v>
      </c>
      <c r="C49" s="290"/>
      <c r="D49" s="244"/>
      <c r="E49" s="244"/>
      <c r="F49" s="274"/>
      <c r="G49" s="244"/>
      <c r="H49" s="244"/>
      <c r="I49" s="274"/>
      <c r="J49" s="244"/>
      <c r="K49" s="244"/>
      <c r="L49" s="274"/>
    </row>
    <row r="50" spans="1:12" ht="26.25" thickBot="1">
      <c r="A50" s="244"/>
      <c r="B50" s="246" t="s">
        <v>735</v>
      </c>
      <c r="C50" s="244"/>
      <c r="D50" s="244"/>
      <c r="E50" s="244"/>
      <c r="F50" s="274">
        <v>5000</v>
      </c>
      <c r="G50" s="244"/>
      <c r="H50" s="244"/>
      <c r="I50" s="274">
        <f>5000*110%</f>
        <v>5500</v>
      </c>
      <c r="J50" s="244"/>
      <c r="K50" s="244"/>
      <c r="L50" s="274">
        <v>5000</v>
      </c>
    </row>
    <row r="51" spans="1:12" ht="39" thickBot="1">
      <c r="A51" s="244"/>
      <c r="B51" s="246" t="s">
        <v>736</v>
      </c>
      <c r="C51" s="244"/>
      <c r="D51" s="244"/>
      <c r="E51" s="244"/>
      <c r="F51" s="274">
        <v>5000</v>
      </c>
      <c r="G51" s="244"/>
      <c r="H51" s="244"/>
      <c r="I51" s="274">
        <f>5000*110%</f>
        <v>5500</v>
      </c>
      <c r="J51" s="244"/>
      <c r="K51" s="244"/>
      <c r="L51" s="274">
        <v>5000</v>
      </c>
    </row>
    <row r="52" spans="1:12" ht="39" thickBot="1">
      <c r="A52" s="261" t="s">
        <v>737</v>
      </c>
      <c r="B52" s="243" t="s">
        <v>738</v>
      </c>
      <c r="C52" s="244"/>
      <c r="D52" s="244"/>
      <c r="E52" s="244"/>
      <c r="F52" s="274"/>
      <c r="G52" s="244"/>
      <c r="H52" s="244"/>
      <c r="I52" s="274"/>
      <c r="J52" s="244"/>
      <c r="K52" s="244"/>
      <c r="L52" s="274"/>
    </row>
    <row r="53" spans="1:12" ht="13.5" thickBot="1">
      <c r="A53" s="244"/>
      <c r="B53" s="243" t="s">
        <v>739</v>
      </c>
      <c r="C53" s="244"/>
      <c r="D53" s="244"/>
      <c r="E53" s="244"/>
      <c r="F53" s="274"/>
      <c r="G53" s="244"/>
      <c r="H53" s="244"/>
      <c r="I53" s="274"/>
      <c r="J53" s="244"/>
      <c r="K53" s="244"/>
      <c r="L53" s="274"/>
    </row>
    <row r="54" spans="1:12" ht="90" thickBot="1">
      <c r="A54" s="244"/>
      <c r="B54" s="243" t="s">
        <v>751</v>
      </c>
      <c r="C54" s="244"/>
      <c r="D54" s="244"/>
      <c r="E54" s="244"/>
      <c r="F54" s="274"/>
      <c r="G54" s="244"/>
      <c r="H54" s="244"/>
      <c r="I54" s="274"/>
      <c r="J54" s="244"/>
      <c r="K54" s="244"/>
      <c r="L54" s="274"/>
    </row>
    <row r="55" spans="1:12" ht="39" thickBot="1">
      <c r="A55" s="261" t="s">
        <v>666</v>
      </c>
      <c r="B55" s="246" t="s">
        <v>740</v>
      </c>
      <c r="C55" s="244"/>
      <c r="D55" s="244"/>
      <c r="E55" s="244"/>
      <c r="F55" s="274"/>
      <c r="G55" s="244"/>
      <c r="H55" s="244"/>
      <c r="I55" s="274"/>
      <c r="J55" s="244"/>
      <c r="K55" s="244"/>
      <c r="L55" s="274"/>
    </row>
    <row r="56" spans="1:12" ht="13.5" thickBot="1">
      <c r="A56" s="263" t="s">
        <v>741</v>
      </c>
      <c r="B56" s="247" t="s">
        <v>742</v>
      </c>
      <c r="C56" s="244"/>
      <c r="D56" s="244"/>
      <c r="E56" s="244"/>
      <c r="F56" s="274"/>
      <c r="G56" s="244"/>
      <c r="H56" s="244"/>
      <c r="I56" s="274"/>
      <c r="J56" s="244"/>
      <c r="K56" s="244"/>
      <c r="L56" s="274"/>
    </row>
    <row r="57" spans="1:12" ht="26.25" thickBot="1">
      <c r="A57" s="261" t="s">
        <v>743</v>
      </c>
      <c r="B57" s="246" t="s">
        <v>744</v>
      </c>
      <c r="C57" s="244"/>
      <c r="D57" s="250"/>
      <c r="E57" s="244"/>
      <c r="F57" s="274"/>
      <c r="G57" s="244"/>
      <c r="H57" s="244"/>
      <c r="I57" s="274"/>
      <c r="J57" s="244"/>
      <c r="K57" s="244"/>
      <c r="L57" s="274"/>
    </row>
    <row r="58" spans="1:12" ht="26.25" thickBot="1">
      <c r="A58" s="250"/>
      <c r="B58" s="243" t="s">
        <v>745</v>
      </c>
      <c r="C58" s="244"/>
      <c r="D58" s="250"/>
      <c r="E58" s="244"/>
      <c r="F58" s="274">
        <v>1000</v>
      </c>
      <c r="G58" s="244"/>
      <c r="H58" s="244"/>
      <c r="I58" s="274">
        <f>1000*110%</f>
        <v>1100</v>
      </c>
      <c r="J58" s="244"/>
      <c r="K58" s="244"/>
      <c r="L58" s="274">
        <v>1000</v>
      </c>
    </row>
    <row r="59" spans="1:12" ht="77.25" thickBot="1">
      <c r="A59" s="250"/>
      <c r="B59" s="246" t="s">
        <v>746</v>
      </c>
      <c r="C59" s="244"/>
      <c r="D59" s="264"/>
      <c r="E59" s="244"/>
      <c r="F59" s="274">
        <v>10000</v>
      </c>
      <c r="G59" s="244"/>
      <c r="H59" s="244"/>
      <c r="I59" s="274"/>
      <c r="J59" s="244"/>
      <c r="K59" s="244"/>
      <c r="L59" s="274"/>
    </row>
    <row r="60" spans="1:12" ht="26.25" thickBot="1">
      <c r="A60" s="250"/>
      <c r="B60" s="246" t="s">
        <v>747</v>
      </c>
      <c r="C60" s="244"/>
      <c r="D60" s="250"/>
      <c r="E60" s="244"/>
      <c r="F60" s="274">
        <v>1000</v>
      </c>
      <c r="G60" s="244"/>
      <c r="H60" s="244"/>
      <c r="I60" s="274">
        <f>1000*110%</f>
        <v>1100</v>
      </c>
      <c r="J60" s="244"/>
      <c r="K60" s="244"/>
      <c r="L60" s="274">
        <v>1000</v>
      </c>
    </row>
    <row r="61" spans="1:12" ht="13.5" thickBot="1">
      <c r="A61" s="245" t="s">
        <v>748</v>
      </c>
      <c r="B61" s="243" t="s">
        <v>749</v>
      </c>
      <c r="C61" s="244"/>
      <c r="D61" s="250"/>
      <c r="E61" s="244"/>
      <c r="F61" s="274"/>
      <c r="G61" s="244"/>
      <c r="H61" s="244"/>
      <c r="I61" s="274"/>
      <c r="J61" s="244"/>
      <c r="K61" s="244"/>
      <c r="L61" s="244"/>
    </row>
    <row r="62" spans="1:12" ht="13.5" thickBot="1">
      <c r="A62" s="250"/>
      <c r="B62" s="267" t="s">
        <v>189</v>
      </c>
      <c r="C62" s="244"/>
      <c r="D62" s="250"/>
      <c r="E62" s="244"/>
      <c r="F62" s="274"/>
      <c r="G62" s="244"/>
      <c r="H62" s="244"/>
      <c r="I62" s="274"/>
      <c r="J62" s="244"/>
      <c r="K62" s="244"/>
      <c r="L62" s="244"/>
    </row>
    <row r="63" spans="1:12" ht="13.5" thickBot="1">
      <c r="A63" s="769" t="s">
        <v>752</v>
      </c>
      <c r="B63" s="770"/>
      <c r="C63" s="244"/>
      <c r="D63" s="250"/>
      <c r="E63" s="244"/>
      <c r="F63" s="274"/>
      <c r="G63" s="244"/>
      <c r="H63" s="244"/>
      <c r="I63" s="274"/>
      <c r="J63" s="244"/>
      <c r="K63" s="244"/>
      <c r="L63" s="244"/>
    </row>
    <row r="65" spans="1:9" ht="15">
      <c r="A65" s="204" t="s">
        <v>533</v>
      </c>
      <c r="D65" s="215"/>
      <c r="F65" s="289" t="s">
        <v>980</v>
      </c>
      <c r="G65" s="215"/>
      <c r="H65" s="215"/>
      <c r="I65" s="215"/>
    </row>
    <row r="66" spans="1:4" ht="15">
      <c r="A66" s="204" t="s">
        <v>534</v>
      </c>
      <c r="D66" s="223" t="s">
        <v>655</v>
      </c>
    </row>
    <row r="69" spans="1:9" ht="15">
      <c r="A69" s="204" t="s">
        <v>535</v>
      </c>
      <c r="D69" s="215"/>
      <c r="F69" s="380" t="s">
        <v>915</v>
      </c>
      <c r="G69" s="215"/>
      <c r="H69" s="215"/>
      <c r="I69" s="215"/>
    </row>
    <row r="70" spans="1:4" ht="15">
      <c r="A70" s="204" t="s">
        <v>534</v>
      </c>
      <c r="D70" s="223" t="s">
        <v>655</v>
      </c>
    </row>
  </sheetData>
  <sheetProtection/>
  <mergeCells count="10">
    <mergeCell ref="A63:B63"/>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L98"/>
  <sheetViews>
    <sheetView zoomScalePageLayoutView="0" workbookViewId="0" topLeftCell="A34">
      <selection activeCell="E16" sqref="E16:E40"/>
    </sheetView>
  </sheetViews>
  <sheetFormatPr defaultColWidth="9.00390625" defaultRowHeight="12.75"/>
  <cols>
    <col min="1" max="1" width="10.75390625" style="0" customWidth="1"/>
    <col min="2" max="2" width="28.125" style="0" customWidth="1"/>
    <col min="3" max="3" width="13.375" style="0" customWidth="1"/>
    <col min="4" max="4" width="13.625" style="0" customWidth="1"/>
    <col min="5" max="5" width="13.625" style="288" customWidth="1"/>
    <col min="6" max="6" width="16.25390625" style="0" customWidth="1"/>
    <col min="7" max="7" width="13.625" style="0" customWidth="1"/>
    <col min="8" max="8" width="16.625" style="0" customWidth="1"/>
    <col min="9" max="12" width="13.625" style="0" customWidth="1"/>
  </cols>
  <sheetData>
    <row r="1" ht="12.75" customHeight="1">
      <c r="I1" s="204" t="s">
        <v>765</v>
      </c>
    </row>
    <row r="3" ht="15">
      <c r="I3" s="204" t="s">
        <v>766</v>
      </c>
    </row>
    <row r="4" ht="15">
      <c r="I4" s="204" t="s">
        <v>767</v>
      </c>
    </row>
    <row r="5" ht="15">
      <c r="I5" s="204" t="s">
        <v>768</v>
      </c>
    </row>
    <row r="6" ht="15">
      <c r="I6" s="204" t="s">
        <v>769</v>
      </c>
    </row>
    <row r="7" ht="15">
      <c r="I7" s="204" t="s">
        <v>770</v>
      </c>
    </row>
    <row r="8" ht="15">
      <c r="I8" s="204" t="s">
        <v>771</v>
      </c>
    </row>
    <row r="9" ht="12.75">
      <c r="L9" s="378"/>
    </row>
    <row r="10" spans="1:12" ht="15.75">
      <c r="A10" s="735" t="s">
        <v>773</v>
      </c>
      <c r="B10" s="735"/>
      <c r="C10" s="735"/>
      <c r="D10" s="735"/>
      <c r="E10" s="735"/>
      <c r="F10" s="735"/>
      <c r="G10" s="735"/>
      <c r="H10" s="735"/>
      <c r="I10" s="735"/>
      <c r="J10" s="735"/>
      <c r="K10" s="735"/>
      <c r="L10" s="735"/>
    </row>
    <row r="11" spans="1:12" s="222" customFormat="1" ht="15.75">
      <c r="A11" s="751" t="s">
        <v>831</v>
      </c>
      <c r="B11" s="751"/>
      <c r="C11" s="751"/>
      <c r="D11" s="751"/>
      <c r="E11" s="751"/>
      <c r="F11" s="751"/>
      <c r="G11" s="751"/>
      <c r="H11" s="751"/>
      <c r="I11" s="751"/>
      <c r="J11" s="751"/>
      <c r="K11" s="751"/>
      <c r="L11" s="751"/>
    </row>
    <row r="12" spans="1:12" ht="15">
      <c r="A12" s="763" t="s">
        <v>772</v>
      </c>
      <c r="B12" s="763"/>
      <c r="C12" s="763"/>
      <c r="D12" s="763"/>
      <c r="E12" s="763"/>
      <c r="F12" s="763"/>
      <c r="G12" s="763"/>
      <c r="H12" s="763"/>
      <c r="I12" s="763"/>
      <c r="J12" s="763"/>
      <c r="K12" s="763"/>
      <c r="L12" s="763"/>
    </row>
    <row r="13" ht="13.5" thickBot="1"/>
    <row r="14" spans="1:12" ht="13.5" thickBot="1">
      <c r="A14" s="773" t="s">
        <v>570</v>
      </c>
      <c r="B14" s="757" t="s">
        <v>779</v>
      </c>
      <c r="C14" s="773" t="s">
        <v>543</v>
      </c>
      <c r="D14" s="759" t="s">
        <v>663</v>
      </c>
      <c r="E14" s="760"/>
      <c r="F14" s="761"/>
      <c r="G14" s="759" t="s">
        <v>664</v>
      </c>
      <c r="H14" s="760"/>
      <c r="I14" s="761"/>
      <c r="J14" s="759" t="s">
        <v>665</v>
      </c>
      <c r="K14" s="760"/>
      <c r="L14" s="761"/>
    </row>
    <row r="15" spans="1:12" ht="26.25" thickBot="1">
      <c r="A15" s="772"/>
      <c r="B15" s="758"/>
      <c r="C15" s="772"/>
      <c r="D15" s="245" t="s">
        <v>672</v>
      </c>
      <c r="E15" s="394" t="s">
        <v>780</v>
      </c>
      <c r="F15" s="240" t="s">
        <v>574</v>
      </c>
      <c r="G15" s="245" t="s">
        <v>672</v>
      </c>
      <c r="H15" s="240" t="s">
        <v>780</v>
      </c>
      <c r="I15" s="240" t="s">
        <v>574</v>
      </c>
      <c r="J15" s="245" t="s">
        <v>672</v>
      </c>
      <c r="K15" s="240" t="s">
        <v>780</v>
      </c>
      <c r="L15" s="240" t="s">
        <v>574</v>
      </c>
    </row>
    <row r="16" spans="1:12" s="279" customFormat="1" ht="13.5" thickBot="1">
      <c r="A16" s="257" t="s">
        <v>673</v>
      </c>
      <c r="B16" s="260" t="s">
        <v>674</v>
      </c>
      <c r="C16" s="259"/>
      <c r="D16" s="296"/>
      <c r="E16" s="609"/>
      <c r="F16" s="372">
        <f>F17+F18+F19+F20+F21</f>
        <v>37600</v>
      </c>
      <c r="G16" s="259"/>
      <c r="H16" s="258"/>
      <c r="I16" s="373">
        <f>I19+I20+I21</f>
        <v>44000</v>
      </c>
      <c r="J16" s="258"/>
      <c r="K16" s="258"/>
      <c r="L16" s="373">
        <f>+L20+L21</f>
        <v>38500</v>
      </c>
    </row>
    <row r="17" spans="1:12" ht="39" thickBot="1">
      <c r="A17" s="244"/>
      <c r="B17" s="246" t="s">
        <v>781</v>
      </c>
      <c r="C17" s="242"/>
      <c r="D17" s="366"/>
      <c r="E17" s="610"/>
      <c r="F17" s="367"/>
      <c r="G17" s="242"/>
      <c r="H17" s="244"/>
      <c r="I17" s="242"/>
      <c r="J17" s="244"/>
      <c r="K17" s="244"/>
      <c r="L17" s="242"/>
    </row>
    <row r="18" spans="1:12" ht="51.75" thickBot="1">
      <c r="A18" s="244"/>
      <c r="B18" s="246" t="s">
        <v>782</v>
      </c>
      <c r="C18" s="242"/>
      <c r="D18" s="366"/>
      <c r="E18" s="610"/>
      <c r="F18" s="367"/>
      <c r="G18" s="242"/>
      <c r="H18" s="300"/>
      <c r="I18" s="242"/>
      <c r="J18" s="244"/>
      <c r="K18" s="244"/>
      <c r="L18" s="242"/>
    </row>
    <row r="19" spans="1:12" ht="26.25" thickBot="1">
      <c r="A19" s="244"/>
      <c r="B19" s="243" t="s">
        <v>783</v>
      </c>
      <c r="C19" s="285" t="s">
        <v>824</v>
      </c>
      <c r="D19" s="366"/>
      <c r="E19" s="610"/>
      <c r="F19" s="367">
        <v>5000</v>
      </c>
      <c r="G19" s="365"/>
      <c r="H19" s="369"/>
      <c r="I19" s="367">
        <f>5000*110%</f>
        <v>5500</v>
      </c>
      <c r="J19" s="244"/>
      <c r="K19" s="244"/>
      <c r="L19" s="274">
        <f>5000*110%</f>
        <v>5500</v>
      </c>
    </row>
    <row r="20" spans="1:12" ht="13.5" thickBot="1">
      <c r="A20" s="244"/>
      <c r="B20" s="246" t="s">
        <v>784</v>
      </c>
      <c r="C20" s="242"/>
      <c r="D20" s="366"/>
      <c r="E20" s="610"/>
      <c r="F20" s="367">
        <v>5000</v>
      </c>
      <c r="G20" s="365"/>
      <c r="H20" s="370"/>
      <c r="I20" s="367">
        <f>5000*110%</f>
        <v>5500</v>
      </c>
      <c r="J20" s="244"/>
      <c r="K20" s="244"/>
      <c r="L20" s="367">
        <f>5000*110%</f>
        <v>5500</v>
      </c>
    </row>
    <row r="21" spans="1:12" ht="98.25" customHeight="1" thickBot="1">
      <c r="A21" s="244"/>
      <c r="B21" s="268" t="s">
        <v>777</v>
      </c>
      <c r="C21" s="242"/>
      <c r="D21" s="366"/>
      <c r="E21" s="610"/>
      <c r="F21" s="367">
        <v>27600</v>
      </c>
      <c r="G21" s="365"/>
      <c r="H21" s="303"/>
      <c r="I21" s="367">
        <v>33000</v>
      </c>
      <c r="J21" s="244"/>
      <c r="K21" s="244"/>
      <c r="L21" s="274">
        <v>33000</v>
      </c>
    </row>
    <row r="22" spans="1:12" ht="13.5" thickBot="1">
      <c r="A22" s="244"/>
      <c r="B22" s="244" t="s">
        <v>189</v>
      </c>
      <c r="C22" s="244"/>
      <c r="D22" s="366"/>
      <c r="E22" s="610"/>
      <c r="F22" s="367"/>
      <c r="G22" s="366"/>
      <c r="H22" s="363"/>
      <c r="I22" s="367"/>
      <c r="J22" s="244"/>
      <c r="K22" s="244"/>
      <c r="L22" s="274"/>
    </row>
    <row r="23" spans="1:12" s="279" customFormat="1" ht="13.5" thickBot="1">
      <c r="A23" s="257" t="s">
        <v>675</v>
      </c>
      <c r="B23" s="258" t="s">
        <v>676</v>
      </c>
      <c r="C23" s="291" t="s">
        <v>824</v>
      </c>
      <c r="D23" s="296"/>
      <c r="E23" s="609"/>
      <c r="F23" s="372">
        <f>F24+F25+F26+F27+F28</f>
        <v>6500000</v>
      </c>
      <c r="G23" s="296"/>
      <c r="H23" s="371"/>
      <c r="I23" s="372">
        <f>I24+I25+I26+I27+I28</f>
        <v>5585061.1850000005</v>
      </c>
      <c r="J23" s="258"/>
      <c r="K23" s="258"/>
      <c r="L23" s="281">
        <f>L24+L25+L26+L27+L28</f>
        <v>5585061.1850000005</v>
      </c>
    </row>
    <row r="24" spans="1:12" ht="39" thickBot="1">
      <c r="A24" s="244"/>
      <c r="B24" s="246" t="s">
        <v>785</v>
      </c>
      <c r="C24" s="285" t="s">
        <v>824</v>
      </c>
      <c r="D24" s="366"/>
      <c r="E24" s="610"/>
      <c r="F24" s="367">
        <v>500000</v>
      </c>
      <c r="G24" s="366"/>
      <c r="H24" s="303"/>
      <c r="I24" s="367">
        <f>(116055+155952.1+14100)*110%</f>
        <v>314717.81</v>
      </c>
      <c r="J24" s="244"/>
      <c r="K24" s="244"/>
      <c r="L24" s="274">
        <f>(116055+155952.1+14100)*110%</f>
        <v>314717.81</v>
      </c>
    </row>
    <row r="25" spans="1:12" ht="51.75" thickBot="1">
      <c r="A25" s="244"/>
      <c r="B25" s="246" t="s">
        <v>782</v>
      </c>
      <c r="C25" s="244"/>
      <c r="D25" s="366"/>
      <c r="E25" s="610"/>
      <c r="F25" s="367">
        <v>2069972</v>
      </c>
      <c r="G25" s="366"/>
      <c r="H25" s="364"/>
      <c r="I25" s="367">
        <f>(294027+235483.25+1700+9000+3000+70300)*110%</f>
        <v>674861.275</v>
      </c>
      <c r="J25" s="244"/>
      <c r="K25" s="244"/>
      <c r="L25" s="274">
        <f>(294027+235483.25+1700+9000+3000+70300)*110%</f>
        <v>674861.275</v>
      </c>
    </row>
    <row r="26" spans="1:12" ht="26.25" thickBot="1">
      <c r="A26" s="244"/>
      <c r="B26" s="243" t="s">
        <v>783</v>
      </c>
      <c r="C26" s="244"/>
      <c r="D26" s="366"/>
      <c r="E26" s="610"/>
      <c r="F26" s="367">
        <v>530000</v>
      </c>
      <c r="G26" s="366"/>
      <c r="H26" s="368"/>
      <c r="I26" s="367">
        <f>(7800+8000+16810+105157+5007+72630+68406+541845)*110%</f>
        <v>908220.5000000001</v>
      </c>
      <c r="J26" s="244"/>
      <c r="K26" s="244"/>
      <c r="L26" s="274">
        <f>(7800+8000+16810+105157+5007+72630+68406+541845)*110%</f>
        <v>908220.5000000001</v>
      </c>
    </row>
    <row r="27" spans="1:12" ht="13.5" thickBot="1">
      <c r="A27" s="244"/>
      <c r="B27" s="246" t="s">
        <v>784</v>
      </c>
      <c r="C27" s="244"/>
      <c r="D27" s="366"/>
      <c r="E27" s="610"/>
      <c r="F27" s="367">
        <v>100000</v>
      </c>
      <c r="G27" s="366"/>
      <c r="H27" s="303"/>
      <c r="I27" s="367">
        <f>(15301+18829)*110%</f>
        <v>37543</v>
      </c>
      <c r="J27" s="244"/>
      <c r="K27" s="244"/>
      <c r="L27" s="274">
        <f>(15301+18829)*110%</f>
        <v>37543</v>
      </c>
    </row>
    <row r="28" spans="1:12" ht="93" customHeight="1" thickBot="1">
      <c r="A28" s="244"/>
      <c r="B28" s="243" t="s">
        <v>786</v>
      </c>
      <c r="C28" s="244"/>
      <c r="D28" s="366"/>
      <c r="E28" s="610"/>
      <c r="F28" s="367">
        <v>3300028</v>
      </c>
      <c r="G28" s="366"/>
      <c r="H28" s="303"/>
      <c r="I28" s="367">
        <f>(462000+159632+61500+4000+75936+2200+631+122400+6120+92040+161500+8905+45483+104430+332600+21630+469919+849708+3679+60160+62000+49548+16648+145257)*110%</f>
        <v>3649718.6</v>
      </c>
      <c r="J28" s="244"/>
      <c r="K28" s="244"/>
      <c r="L28" s="274">
        <f>(462000+159632+61500+4000+75936+2200+631+122400+6120+92040+161500+8905+45483+104430+332600+21630+469919+849708+3679+60160+62000+49548+16648+145257)*110%</f>
        <v>3649718.6</v>
      </c>
    </row>
    <row r="29" spans="1:12" ht="13.5" thickBot="1">
      <c r="A29" s="244"/>
      <c r="B29" s="247" t="s">
        <v>189</v>
      </c>
      <c r="C29" s="244"/>
      <c r="D29" s="366"/>
      <c r="E29" s="611"/>
      <c r="F29" s="272"/>
      <c r="G29" s="244"/>
      <c r="H29" s="301"/>
      <c r="I29" s="244"/>
      <c r="J29" s="244"/>
      <c r="K29" s="244"/>
      <c r="L29" s="244"/>
    </row>
    <row r="30" spans="1:12" ht="39" thickBot="1">
      <c r="A30" s="257" t="s">
        <v>677</v>
      </c>
      <c r="B30" s="239" t="s">
        <v>678</v>
      </c>
      <c r="C30" s="244"/>
      <c r="D30" s="366"/>
      <c r="E30" s="611"/>
      <c r="F30" s="606">
        <f>F31+F32+F33+F34+F35</f>
        <v>219330</v>
      </c>
      <c r="G30" s="244"/>
      <c r="H30" s="244"/>
      <c r="I30" s="244"/>
      <c r="J30" s="244"/>
      <c r="K30" s="244"/>
      <c r="L30" s="539"/>
    </row>
    <row r="31" spans="1:12" ht="39" thickBot="1">
      <c r="A31" s="244"/>
      <c r="B31" s="262" t="s">
        <v>778</v>
      </c>
      <c r="C31" s="244"/>
      <c r="D31" s="366"/>
      <c r="E31" s="611"/>
      <c r="F31" s="607">
        <v>15000</v>
      </c>
      <c r="G31" s="244"/>
      <c r="H31" s="244"/>
      <c r="I31" s="244"/>
      <c r="J31" s="244"/>
      <c r="K31" s="244"/>
      <c r="L31" s="538"/>
    </row>
    <row r="32" spans="1:12" ht="51.75" thickBot="1">
      <c r="A32" s="244"/>
      <c r="B32" s="246" t="s">
        <v>782</v>
      </c>
      <c r="C32" s="244"/>
      <c r="D32" s="366"/>
      <c r="E32" s="611"/>
      <c r="F32" s="607">
        <f>15000+34000</f>
        <v>49000</v>
      </c>
      <c r="G32" s="254"/>
      <c r="H32" s="244"/>
      <c r="I32" s="244"/>
      <c r="J32" s="244"/>
      <c r="K32" s="244"/>
      <c r="L32" s="538"/>
    </row>
    <row r="33" spans="1:12" ht="26.25" thickBot="1">
      <c r="A33" s="244"/>
      <c r="B33" s="243" t="s">
        <v>783</v>
      </c>
      <c r="C33" s="244"/>
      <c r="D33" s="366"/>
      <c r="E33" s="611"/>
      <c r="F33" s="607">
        <v>20000</v>
      </c>
      <c r="G33" s="269"/>
      <c r="H33" s="244"/>
      <c r="I33" s="244"/>
      <c r="J33" s="244"/>
      <c r="K33" s="244"/>
      <c r="L33" s="538"/>
    </row>
    <row r="34" spans="1:12" ht="13.5" thickBot="1">
      <c r="A34" s="244"/>
      <c r="B34" s="246" t="s">
        <v>784</v>
      </c>
      <c r="C34" s="244"/>
      <c r="D34" s="366"/>
      <c r="E34" s="611"/>
      <c r="F34" s="607">
        <v>2000</v>
      </c>
      <c r="G34" s="254"/>
      <c r="H34" s="244"/>
      <c r="I34" s="244"/>
      <c r="J34" s="244"/>
      <c r="K34" s="244"/>
      <c r="L34" s="538"/>
    </row>
    <row r="35" spans="1:12" ht="111" customHeight="1" thickBot="1">
      <c r="A35" s="244"/>
      <c r="B35" s="243" t="s">
        <v>787</v>
      </c>
      <c r="C35" s="244"/>
      <c r="D35" s="366"/>
      <c r="E35" s="611"/>
      <c r="F35" s="607">
        <f>60000+3000+54100+16230</f>
        <v>133330</v>
      </c>
      <c r="G35" s="254"/>
      <c r="H35" s="248"/>
      <c r="I35" s="244"/>
      <c r="J35" s="244"/>
      <c r="K35" s="244"/>
      <c r="L35" s="538"/>
    </row>
    <row r="36" spans="1:12" ht="15.75" customHeight="1" thickBot="1">
      <c r="A36" s="244"/>
      <c r="B36" s="247" t="s">
        <v>189</v>
      </c>
      <c r="C36" s="244"/>
      <c r="D36" s="366"/>
      <c r="E36" s="611"/>
      <c r="F36" s="607">
        <f>F38+F39</f>
        <v>528118</v>
      </c>
      <c r="G36" s="254"/>
      <c r="H36" s="248"/>
      <c r="I36" s="244"/>
      <c r="J36" s="244"/>
      <c r="K36" s="244"/>
      <c r="L36" s="538"/>
    </row>
    <row r="37" spans="1:12" s="222" customFormat="1" ht="66.75" customHeight="1" thickBot="1">
      <c r="A37" s="336" t="s">
        <v>1014</v>
      </c>
      <c r="B37" s="356" t="s">
        <v>1126</v>
      </c>
      <c r="C37" s="306"/>
      <c r="D37" s="605"/>
      <c r="E37" s="612"/>
      <c r="F37" s="608"/>
      <c r="G37" s="351"/>
      <c r="H37" s="601"/>
      <c r="I37" s="306"/>
      <c r="J37" s="306"/>
      <c r="K37" s="306"/>
      <c r="L37" s="600"/>
    </row>
    <row r="38" spans="1:12" ht="24" customHeight="1" thickBot="1">
      <c r="A38" s="244"/>
      <c r="B38" s="268" t="s">
        <v>1024</v>
      </c>
      <c r="C38" s="285" t="s">
        <v>824</v>
      </c>
      <c r="D38" s="366"/>
      <c r="E38" s="611"/>
      <c r="F38" s="607">
        <v>489670</v>
      </c>
      <c r="G38" s="254"/>
      <c r="H38" s="248"/>
      <c r="I38" s="244"/>
      <c r="J38" s="244"/>
      <c r="K38" s="244"/>
      <c r="L38" s="538"/>
    </row>
    <row r="39" spans="1:12" ht="13.5" thickBot="1">
      <c r="A39" s="244"/>
      <c r="B39" s="252" t="s">
        <v>1024</v>
      </c>
      <c r="C39" s="285" t="s">
        <v>825</v>
      </c>
      <c r="D39" s="366"/>
      <c r="E39" s="611"/>
      <c r="F39" s="607">
        <f>38448</f>
        <v>38448</v>
      </c>
      <c r="G39" s="254"/>
      <c r="H39" s="244"/>
      <c r="I39" s="244"/>
      <c r="J39" s="244"/>
      <c r="K39" s="244"/>
      <c r="L39" s="244"/>
    </row>
    <row r="40" spans="1:12" ht="13.5" thickBot="1">
      <c r="A40" s="244"/>
      <c r="B40" s="244" t="s">
        <v>695</v>
      </c>
      <c r="C40" s="244"/>
      <c r="D40" s="366"/>
      <c r="E40" s="611"/>
      <c r="F40" s="272"/>
      <c r="G40" s="254"/>
      <c r="H40" s="244"/>
      <c r="I40" s="244"/>
      <c r="J40" s="244"/>
      <c r="K40" s="244"/>
      <c r="L40" s="244"/>
    </row>
    <row r="42" spans="1:9" ht="15">
      <c r="A42" s="204" t="s">
        <v>533</v>
      </c>
      <c r="D42" s="215"/>
      <c r="F42" s="289" t="s">
        <v>980</v>
      </c>
      <c r="G42" s="215"/>
      <c r="H42" s="215"/>
      <c r="I42" s="215"/>
    </row>
    <row r="43" spans="1:4" ht="15">
      <c r="A43" s="204" t="s">
        <v>534</v>
      </c>
      <c r="D43" s="223" t="s">
        <v>655</v>
      </c>
    </row>
    <row r="46" spans="1:9" ht="15">
      <c r="A46" s="204" t="s">
        <v>535</v>
      </c>
      <c r="D46" s="215"/>
      <c r="F46" s="380" t="s">
        <v>915</v>
      </c>
      <c r="G46" s="215"/>
      <c r="H46" s="215"/>
      <c r="I46" s="215"/>
    </row>
    <row r="47" spans="1:4" ht="15">
      <c r="A47" s="204" t="s">
        <v>534</v>
      </c>
      <c r="D47" s="223" t="s">
        <v>655</v>
      </c>
    </row>
    <row r="98" ht="12.75">
      <c r="G98">
        <f>'Прилож 11(226)'!L9</f>
        <v>0</v>
      </c>
    </row>
  </sheetData>
  <sheetProtection/>
  <mergeCells count="9">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L58"/>
  <sheetViews>
    <sheetView zoomScalePageLayoutView="0" workbookViewId="0" topLeftCell="A16">
      <selection activeCell="F35" sqref="F35"/>
    </sheetView>
  </sheetViews>
  <sheetFormatPr defaultColWidth="9.00390625" defaultRowHeight="12.75"/>
  <cols>
    <col min="1" max="1" width="10.75390625" style="0" customWidth="1"/>
    <col min="2" max="2" width="26.625" style="0" customWidth="1"/>
    <col min="3" max="4" width="12.00390625" style="0" customWidth="1"/>
    <col min="5" max="5" width="12.375" style="288" customWidth="1"/>
    <col min="6" max="6" width="14.25390625" style="288" customWidth="1"/>
    <col min="7" max="7" width="10.75390625" style="0" customWidth="1"/>
    <col min="8" max="8" width="10.625" style="0" customWidth="1"/>
    <col min="9" max="9" width="14.125" style="0" customWidth="1"/>
    <col min="10" max="10" width="12.00390625" style="0" customWidth="1"/>
    <col min="11" max="11" width="10.625" style="0" customWidth="1"/>
    <col min="12" max="12" width="13.875" style="0" customWidth="1"/>
  </cols>
  <sheetData>
    <row r="1" ht="15">
      <c r="I1" s="204" t="s">
        <v>788</v>
      </c>
    </row>
    <row r="2" ht="15">
      <c r="I2" s="204" t="s">
        <v>789</v>
      </c>
    </row>
    <row r="3" ht="15">
      <c r="I3" s="204" t="s">
        <v>790</v>
      </c>
    </row>
    <row r="4" ht="15">
      <c r="I4" s="204" t="s">
        <v>566</v>
      </c>
    </row>
    <row r="5" ht="15">
      <c r="I5" s="204" t="s">
        <v>567</v>
      </c>
    </row>
    <row r="6" ht="15">
      <c r="I6" s="204" t="s">
        <v>568</v>
      </c>
    </row>
    <row r="7" ht="15">
      <c r="I7" s="204" t="s">
        <v>569</v>
      </c>
    </row>
    <row r="9" spans="1:12" ht="15.75">
      <c r="A9" s="735" t="s">
        <v>670</v>
      </c>
      <c r="B9" s="735"/>
      <c r="C9" s="735"/>
      <c r="D9" s="735"/>
      <c r="E9" s="735"/>
      <c r="F9" s="735"/>
      <c r="G9" s="735"/>
      <c r="H9" s="735"/>
      <c r="I9" s="735"/>
      <c r="J9" s="735"/>
      <c r="K9" s="735"/>
      <c r="L9" s="735"/>
    </row>
    <row r="10" spans="1:12" s="222" customFormat="1" ht="15.75">
      <c r="A10" s="751" t="s">
        <v>831</v>
      </c>
      <c r="B10" s="751"/>
      <c r="C10" s="751"/>
      <c r="D10" s="751"/>
      <c r="E10" s="751"/>
      <c r="F10" s="751"/>
      <c r="G10" s="751"/>
      <c r="H10" s="751"/>
      <c r="I10" s="751"/>
      <c r="J10" s="751"/>
      <c r="K10" s="751"/>
      <c r="L10" s="751"/>
    </row>
    <row r="11" spans="1:12" ht="15">
      <c r="A11" s="763" t="s">
        <v>539</v>
      </c>
      <c r="B11" s="763"/>
      <c r="C11" s="763"/>
      <c r="D11" s="763"/>
      <c r="E11" s="763"/>
      <c r="F11" s="763"/>
      <c r="G11" s="763"/>
      <c r="H11" s="763"/>
      <c r="I11" s="763"/>
      <c r="J11" s="763"/>
      <c r="K11" s="763"/>
      <c r="L11" s="763"/>
    </row>
    <row r="12" ht="13.5" thickBot="1">
      <c r="L12">
        <v>310</v>
      </c>
    </row>
    <row r="13" spans="1:12" ht="13.5" thickBot="1">
      <c r="A13" s="737" t="s">
        <v>791</v>
      </c>
      <c r="B13" s="728" t="s">
        <v>792</v>
      </c>
      <c r="C13" s="737" t="s">
        <v>793</v>
      </c>
      <c r="D13" s="774" t="s">
        <v>794</v>
      </c>
      <c r="E13" s="775"/>
      <c r="F13" s="776"/>
      <c r="G13" s="774" t="s">
        <v>795</v>
      </c>
      <c r="H13" s="775"/>
      <c r="I13" s="776"/>
      <c r="J13" s="774" t="s">
        <v>796</v>
      </c>
      <c r="K13" s="775"/>
      <c r="L13" s="776"/>
    </row>
    <row r="14" spans="1:12" ht="36.75" thickBot="1">
      <c r="A14" s="738"/>
      <c r="B14" s="729"/>
      <c r="C14" s="738"/>
      <c r="D14" s="209" t="s">
        <v>797</v>
      </c>
      <c r="E14" s="295" t="s">
        <v>811</v>
      </c>
      <c r="F14" s="287" t="s">
        <v>798</v>
      </c>
      <c r="G14" s="209" t="s">
        <v>797</v>
      </c>
      <c r="H14" s="271" t="s">
        <v>811</v>
      </c>
      <c r="I14" s="207" t="s">
        <v>798</v>
      </c>
      <c r="J14" s="209" t="s">
        <v>797</v>
      </c>
      <c r="K14" s="207" t="s">
        <v>799</v>
      </c>
      <c r="L14" s="207" t="s">
        <v>798</v>
      </c>
    </row>
    <row r="15" spans="1:12" s="374" customFormat="1" ht="13.5" thickBot="1">
      <c r="A15" s="240" t="s">
        <v>898</v>
      </c>
      <c r="B15" s="246" t="s">
        <v>899</v>
      </c>
      <c r="C15" s="242"/>
      <c r="D15" s="242"/>
      <c r="E15" s="274"/>
      <c r="F15" s="274">
        <f>F21</f>
        <v>3000</v>
      </c>
      <c r="G15" s="244"/>
      <c r="H15" s="242"/>
      <c r="I15" s="242"/>
      <c r="J15" s="242"/>
      <c r="K15" s="244"/>
      <c r="L15" s="242"/>
    </row>
    <row r="16" spans="1:12" ht="48.75" thickBot="1">
      <c r="A16" s="217" t="s">
        <v>800</v>
      </c>
      <c r="B16" s="229" t="s">
        <v>801</v>
      </c>
      <c r="C16" s="212"/>
      <c r="D16" s="212"/>
      <c r="E16" s="276"/>
      <c r="F16" s="276"/>
      <c r="G16" s="210"/>
      <c r="H16" s="212"/>
      <c r="I16" s="212"/>
      <c r="J16" s="212"/>
      <c r="K16" s="210"/>
      <c r="L16" s="212"/>
    </row>
    <row r="17" spans="1:12" ht="13.5" thickBot="1">
      <c r="A17" s="210"/>
      <c r="B17" s="210"/>
      <c r="C17" s="212"/>
      <c r="D17" s="212"/>
      <c r="E17" s="276"/>
      <c r="F17" s="276"/>
      <c r="G17" s="210"/>
      <c r="H17" s="212"/>
      <c r="I17" s="212"/>
      <c r="J17" s="212"/>
      <c r="K17" s="210"/>
      <c r="L17" s="212"/>
    </row>
    <row r="18" spans="1:12" ht="48.75" thickBot="1">
      <c r="A18" s="217" t="s">
        <v>802</v>
      </c>
      <c r="B18" s="229" t="s">
        <v>803</v>
      </c>
      <c r="C18" s="212"/>
      <c r="D18" s="212"/>
      <c r="E18" s="276"/>
      <c r="F18" s="276"/>
      <c r="G18" s="210"/>
      <c r="H18" s="212"/>
      <c r="I18" s="212"/>
      <c r="J18" s="212"/>
      <c r="K18" s="210"/>
      <c r="L18" s="212"/>
    </row>
    <row r="19" spans="1:12" ht="13.5" thickBot="1">
      <c r="A19" s="210"/>
      <c r="B19" s="220" t="s">
        <v>544</v>
      </c>
      <c r="C19" s="212"/>
      <c r="D19" s="212"/>
      <c r="E19" s="276"/>
      <c r="F19" s="276"/>
      <c r="G19" s="210"/>
      <c r="H19" s="212"/>
      <c r="I19" s="212"/>
      <c r="J19" s="212"/>
      <c r="K19" s="210"/>
      <c r="L19" s="212"/>
    </row>
    <row r="20" spans="1:12" ht="24.75" thickBot="1">
      <c r="A20" s="217" t="s">
        <v>804</v>
      </c>
      <c r="B20" s="211" t="s">
        <v>805</v>
      </c>
      <c r="C20" s="291"/>
      <c r="D20" s="210"/>
      <c r="E20" s="276"/>
      <c r="F20" s="276"/>
      <c r="G20" s="210"/>
      <c r="H20" s="210"/>
      <c r="I20" s="210"/>
      <c r="J20" s="210"/>
      <c r="K20" s="210"/>
      <c r="L20" s="210"/>
    </row>
    <row r="21" spans="1:12" ht="13.5" thickBot="1">
      <c r="A21" s="210"/>
      <c r="B21" s="307" t="s">
        <v>922</v>
      </c>
      <c r="C21" s="291" t="s">
        <v>825</v>
      </c>
      <c r="D21" s="210"/>
      <c r="E21" s="276"/>
      <c r="F21" s="276">
        <v>3000</v>
      </c>
      <c r="G21" s="210"/>
      <c r="H21" s="210"/>
      <c r="I21" s="210"/>
      <c r="J21" s="210"/>
      <c r="K21" s="210"/>
      <c r="L21" s="210"/>
    </row>
    <row r="22" spans="1:12" s="279" customFormat="1" ht="13.5" thickBot="1">
      <c r="A22" s="256" t="s">
        <v>774</v>
      </c>
      <c r="B22" s="258" t="s">
        <v>775</v>
      </c>
      <c r="C22" s="291" t="s">
        <v>824</v>
      </c>
      <c r="D22" s="258"/>
      <c r="E22" s="281"/>
      <c r="F22" s="281">
        <f>F23+F25+F27</f>
        <v>3000000</v>
      </c>
      <c r="G22" s="258"/>
      <c r="H22" s="258"/>
      <c r="I22" s="281">
        <f>I23+I25+I27</f>
        <v>2750000</v>
      </c>
      <c r="J22" s="258"/>
      <c r="K22" s="258"/>
      <c r="L22" s="281">
        <f>L23+L25+L27</f>
        <v>2750000</v>
      </c>
    </row>
    <row r="23" spans="1:12" ht="48.75" thickBot="1">
      <c r="A23" s="217" t="s">
        <v>575</v>
      </c>
      <c r="B23" s="211" t="s">
        <v>801</v>
      </c>
      <c r="C23" s="210"/>
      <c r="D23" s="210"/>
      <c r="E23" s="276"/>
      <c r="F23" s="276">
        <v>1500000</v>
      </c>
      <c r="G23" s="210"/>
      <c r="H23" s="210"/>
      <c r="I23" s="276">
        <f>I24*110%</f>
        <v>660000</v>
      </c>
      <c r="J23" s="210"/>
      <c r="K23" s="210"/>
      <c r="L23" s="276">
        <f>L24*110%</f>
        <v>660000</v>
      </c>
    </row>
    <row r="24" spans="1:12" ht="13.5" thickBot="1">
      <c r="A24" s="210"/>
      <c r="B24" s="210" t="s">
        <v>829</v>
      </c>
      <c r="C24" s="210"/>
      <c r="D24" s="210"/>
      <c r="E24" s="293"/>
      <c r="F24" s="293">
        <v>700000</v>
      </c>
      <c r="G24" s="210"/>
      <c r="H24" s="210"/>
      <c r="I24" s="293">
        <v>600000</v>
      </c>
      <c r="J24" s="210"/>
      <c r="K24" s="210"/>
      <c r="L24" s="293">
        <v>600000</v>
      </c>
    </row>
    <row r="25" spans="1:12" ht="48.75" thickBot="1">
      <c r="A25" s="217" t="s">
        <v>802</v>
      </c>
      <c r="B25" s="211" t="s">
        <v>803</v>
      </c>
      <c r="C25" s="210"/>
      <c r="D25" s="210"/>
      <c r="E25" s="293"/>
      <c r="F25" s="293">
        <v>1100000</v>
      </c>
      <c r="G25" s="210"/>
      <c r="H25" s="210"/>
      <c r="I25" s="293">
        <f>I26</f>
        <v>1650000.0000000002</v>
      </c>
      <c r="J25" s="210"/>
      <c r="K25" s="210"/>
      <c r="L25" s="293">
        <f>L26</f>
        <v>1650000.0000000002</v>
      </c>
    </row>
    <row r="26" spans="1:12" ht="13.5" thickBot="1">
      <c r="A26" s="210"/>
      <c r="B26" t="s">
        <v>830</v>
      </c>
      <c r="C26" s="210"/>
      <c r="D26" s="210"/>
      <c r="E26" s="276"/>
      <c r="F26" s="276">
        <v>2300000</v>
      </c>
      <c r="G26" s="210"/>
      <c r="H26" s="210"/>
      <c r="I26" s="276">
        <f>1500000*110%</f>
        <v>1650000.0000000002</v>
      </c>
      <c r="J26" s="210"/>
      <c r="K26" s="210"/>
      <c r="L26" s="276">
        <f>1500000*110%</f>
        <v>1650000.0000000002</v>
      </c>
    </row>
    <row r="27" spans="1:12" ht="24.75" thickBot="1">
      <c r="A27" s="217" t="s">
        <v>804</v>
      </c>
      <c r="B27" s="211" t="s">
        <v>805</v>
      </c>
      <c r="C27" s="210"/>
      <c r="D27" s="210"/>
      <c r="E27" s="276"/>
      <c r="F27" s="276">
        <v>400000</v>
      </c>
      <c r="G27" s="210"/>
      <c r="H27" s="210"/>
      <c r="I27" s="276">
        <f>400000*110%</f>
        <v>440000.00000000006</v>
      </c>
      <c r="J27" s="210"/>
      <c r="K27" s="210"/>
      <c r="L27" s="276">
        <f>400000*110%</f>
        <v>440000.00000000006</v>
      </c>
    </row>
    <row r="28" spans="1:12" ht="13.5" thickBot="1">
      <c r="A28" s="210"/>
      <c r="B28" s="220" t="s">
        <v>189</v>
      </c>
      <c r="C28" s="210"/>
      <c r="D28" s="210"/>
      <c r="E28" s="276"/>
      <c r="F28" s="276"/>
      <c r="G28" s="210"/>
      <c r="H28" s="210"/>
      <c r="I28" s="210"/>
      <c r="J28" s="210"/>
      <c r="K28" s="210"/>
      <c r="L28" s="210"/>
    </row>
    <row r="29" spans="1:12" s="279" customFormat="1" ht="36.75" thickBot="1">
      <c r="A29" s="257" t="s">
        <v>776</v>
      </c>
      <c r="B29" s="270" t="s">
        <v>810</v>
      </c>
      <c r="C29" s="291"/>
      <c r="D29" s="258"/>
      <c r="E29" s="281"/>
      <c r="F29" s="281">
        <f>F34+F31</f>
        <v>288670</v>
      </c>
      <c r="G29" s="258"/>
      <c r="H29" s="258"/>
      <c r="I29" s="258"/>
      <c r="J29" s="258"/>
      <c r="K29" s="258"/>
      <c r="L29" s="258"/>
    </row>
    <row r="30" spans="1:12" ht="48.75" thickBot="1">
      <c r="A30" s="217" t="s">
        <v>575</v>
      </c>
      <c r="B30" s="211" t="s">
        <v>801</v>
      </c>
      <c r="C30" s="210"/>
      <c r="D30" s="210"/>
      <c r="E30" s="276"/>
      <c r="F30" s="276"/>
      <c r="G30" s="210"/>
      <c r="H30" s="210"/>
      <c r="I30" s="210"/>
      <c r="J30" s="210"/>
      <c r="K30" s="210"/>
      <c r="L30" s="210"/>
    </row>
    <row r="31" spans="1:12" ht="13.5" thickBot="1">
      <c r="A31" s="210"/>
      <c r="B31" s="210" t="s">
        <v>829</v>
      </c>
      <c r="C31" s="210"/>
      <c r="D31" s="210"/>
      <c r="E31" s="293"/>
      <c r="F31" s="276"/>
      <c r="G31" s="210"/>
      <c r="H31" s="210"/>
      <c r="I31" s="210"/>
      <c r="J31" s="210"/>
      <c r="K31" s="210"/>
      <c r="L31" s="210"/>
    </row>
    <row r="32" spans="1:12" ht="48.75" thickBot="1">
      <c r="A32" s="217" t="s">
        <v>802</v>
      </c>
      <c r="B32" s="211" t="s">
        <v>803</v>
      </c>
      <c r="C32" s="210"/>
      <c r="D32" s="210"/>
      <c r="E32" s="293"/>
      <c r="F32" s="276"/>
      <c r="G32" s="210"/>
      <c r="H32" s="210"/>
      <c r="I32" s="210"/>
      <c r="J32" s="210"/>
      <c r="K32" s="210"/>
      <c r="L32" s="210"/>
    </row>
    <row r="33" spans="1:12" ht="13.5" thickBot="1">
      <c r="A33" s="212"/>
      <c r="B33" t="s">
        <v>830</v>
      </c>
      <c r="C33" s="210"/>
      <c r="D33" s="210"/>
      <c r="E33" s="276"/>
      <c r="F33" s="276"/>
      <c r="G33" s="210"/>
      <c r="H33" s="210"/>
      <c r="I33" s="210"/>
      <c r="J33" s="210"/>
      <c r="K33" s="210"/>
      <c r="L33" s="210"/>
    </row>
    <row r="34" spans="1:12" ht="24.75" thickBot="1">
      <c r="A34" s="217" t="s">
        <v>804</v>
      </c>
      <c r="B34" s="211" t="s">
        <v>805</v>
      </c>
      <c r="C34" s="291" t="s">
        <v>824</v>
      </c>
      <c r="D34" s="210"/>
      <c r="E34" s="276"/>
      <c r="F34" s="276">
        <f>273370+15300</f>
        <v>288670</v>
      </c>
      <c r="G34" s="210"/>
      <c r="H34" s="210"/>
      <c r="I34" s="210"/>
      <c r="J34" s="210"/>
      <c r="K34" s="210"/>
      <c r="L34" s="210"/>
    </row>
    <row r="35" spans="1:12" ht="30" customHeight="1" thickBot="1">
      <c r="A35" s="212"/>
      <c r="B35" s="268" t="s">
        <v>900</v>
      </c>
      <c r="C35" s="210"/>
      <c r="D35" s="210"/>
      <c r="E35" s="276"/>
      <c r="F35" s="276"/>
      <c r="G35" s="210"/>
      <c r="H35" s="210"/>
      <c r="I35" s="210"/>
      <c r="J35" s="210"/>
      <c r="K35" s="210"/>
      <c r="L35" s="210"/>
    </row>
    <row r="36" spans="1:12" ht="13.5" thickBot="1">
      <c r="A36" s="256" t="s">
        <v>812</v>
      </c>
      <c r="B36" s="239" t="s">
        <v>813</v>
      </c>
      <c r="C36" s="210"/>
      <c r="D36" s="210"/>
      <c r="E36" s="276"/>
      <c r="F36" s="276"/>
      <c r="G36" s="210"/>
      <c r="H36" s="210"/>
      <c r="I36" s="210"/>
      <c r="J36" s="210"/>
      <c r="K36" s="210"/>
      <c r="L36" s="210"/>
    </row>
    <row r="37" spans="1:12" ht="48.75" thickBot="1">
      <c r="A37" s="217" t="s">
        <v>800</v>
      </c>
      <c r="B37" s="229" t="s">
        <v>801</v>
      </c>
      <c r="C37" s="210"/>
      <c r="D37" s="210"/>
      <c r="E37" s="276"/>
      <c r="F37" s="276"/>
      <c r="G37" s="210"/>
      <c r="H37" s="210"/>
      <c r="I37" s="210"/>
      <c r="J37" s="210"/>
      <c r="K37" s="210"/>
      <c r="L37" s="210"/>
    </row>
    <row r="38" spans="1:12" ht="13.5" thickBot="1">
      <c r="A38" s="212"/>
      <c r="B38" s="220" t="s">
        <v>189</v>
      </c>
      <c r="C38" s="210"/>
      <c r="D38" s="210"/>
      <c r="E38" s="276"/>
      <c r="F38" s="276"/>
      <c r="G38" s="210"/>
      <c r="H38" s="210"/>
      <c r="I38" s="210"/>
      <c r="J38" s="210"/>
      <c r="K38" s="210"/>
      <c r="L38" s="210"/>
    </row>
    <row r="39" spans="1:12" ht="48.75" thickBot="1">
      <c r="A39" s="217" t="s">
        <v>802</v>
      </c>
      <c r="B39" s="229" t="s">
        <v>803</v>
      </c>
      <c r="C39" s="210"/>
      <c r="D39" s="210"/>
      <c r="E39" s="276"/>
      <c r="F39" s="276"/>
      <c r="G39" s="210"/>
      <c r="H39" s="210"/>
      <c r="I39" s="210"/>
      <c r="J39" s="210"/>
      <c r="K39" s="210"/>
      <c r="L39" s="210"/>
    </row>
    <row r="40" spans="1:12" ht="13.5" thickBot="1">
      <c r="A40" s="212"/>
      <c r="B40" s="220" t="s">
        <v>189</v>
      </c>
      <c r="C40" s="210"/>
      <c r="D40" s="210"/>
      <c r="E40" s="276"/>
      <c r="F40" s="276"/>
      <c r="G40" s="210"/>
      <c r="H40" s="210"/>
      <c r="I40" s="210"/>
      <c r="J40" s="210"/>
      <c r="K40" s="210"/>
      <c r="L40" s="210"/>
    </row>
    <row r="41" spans="1:12" ht="24.75" thickBot="1">
      <c r="A41" s="217" t="s">
        <v>804</v>
      </c>
      <c r="B41" s="211" t="s">
        <v>805</v>
      </c>
      <c r="C41" s="210"/>
      <c r="D41" s="210"/>
      <c r="E41" s="276"/>
      <c r="F41" s="276"/>
      <c r="G41" s="210"/>
      <c r="H41" s="210"/>
      <c r="I41" s="210"/>
      <c r="J41" s="210"/>
      <c r="K41" s="210"/>
      <c r="L41" s="210"/>
    </row>
    <row r="42" spans="1:12" ht="13.5" thickBot="1">
      <c r="A42" s="212"/>
      <c r="B42" s="220" t="s">
        <v>189</v>
      </c>
      <c r="C42" s="210"/>
      <c r="D42" s="210"/>
      <c r="E42" s="276"/>
      <c r="F42" s="276"/>
      <c r="G42" s="210"/>
      <c r="H42" s="210"/>
      <c r="I42" s="210"/>
      <c r="J42" s="210"/>
      <c r="K42" s="210"/>
      <c r="L42" s="210"/>
    </row>
    <row r="43" spans="1:12" ht="24.75" thickBot="1">
      <c r="A43" s="257" t="s">
        <v>814</v>
      </c>
      <c r="B43" s="260" t="s">
        <v>815</v>
      </c>
      <c r="C43" s="210"/>
      <c r="D43" s="210"/>
      <c r="E43" s="276"/>
      <c r="F43" s="276"/>
      <c r="G43" s="210"/>
      <c r="H43" s="210"/>
      <c r="I43" s="210"/>
      <c r="J43" s="210"/>
      <c r="K43" s="210"/>
      <c r="L43" s="210"/>
    </row>
    <row r="44" spans="1:12" ht="48.75" thickBot="1">
      <c r="A44" s="217" t="s">
        <v>800</v>
      </c>
      <c r="B44" s="211" t="s">
        <v>801</v>
      </c>
      <c r="C44" s="210"/>
      <c r="D44" s="210"/>
      <c r="E44" s="276"/>
      <c r="F44" s="276"/>
      <c r="G44" s="210"/>
      <c r="H44" s="210"/>
      <c r="I44" s="210"/>
      <c r="J44" s="210"/>
      <c r="K44" s="210"/>
      <c r="L44" s="210"/>
    </row>
    <row r="45" spans="1:12" ht="13.5" thickBot="1">
      <c r="A45" s="219"/>
      <c r="B45" s="220" t="s">
        <v>544</v>
      </c>
      <c r="C45" s="210"/>
      <c r="D45" s="210"/>
      <c r="E45" s="276"/>
      <c r="F45" s="276"/>
      <c r="G45" s="210"/>
      <c r="H45" s="210"/>
      <c r="I45" s="210"/>
      <c r="J45" s="210"/>
      <c r="K45" s="210"/>
      <c r="L45" s="210"/>
    </row>
    <row r="46" spans="1:12" ht="48.75" thickBot="1">
      <c r="A46" s="217" t="s">
        <v>802</v>
      </c>
      <c r="B46" s="229" t="s">
        <v>803</v>
      </c>
      <c r="C46" s="210"/>
      <c r="D46" s="210"/>
      <c r="E46" s="276"/>
      <c r="F46" s="276"/>
      <c r="G46" s="210"/>
      <c r="H46" s="210"/>
      <c r="I46" s="210"/>
      <c r="J46" s="210"/>
      <c r="K46" s="210"/>
      <c r="L46" s="210"/>
    </row>
    <row r="47" spans="1:12" ht="13.5" thickBot="1">
      <c r="A47" s="219"/>
      <c r="B47" s="210" t="s">
        <v>189</v>
      </c>
      <c r="C47" s="210"/>
      <c r="D47" s="210"/>
      <c r="E47" s="276"/>
      <c r="F47" s="276"/>
      <c r="G47" s="210"/>
      <c r="H47" s="210"/>
      <c r="I47" s="210"/>
      <c r="J47" s="210"/>
      <c r="K47" s="210"/>
      <c r="L47" s="210"/>
    </row>
    <row r="48" spans="1:12" ht="24.75" thickBot="1">
      <c r="A48" s="217" t="s">
        <v>804</v>
      </c>
      <c r="B48" s="229" t="s">
        <v>805</v>
      </c>
      <c r="C48" s="210"/>
      <c r="D48" s="210"/>
      <c r="E48" s="276"/>
      <c r="F48" s="276"/>
      <c r="G48" s="210"/>
      <c r="H48" s="210"/>
      <c r="I48" s="210"/>
      <c r="J48" s="210"/>
      <c r="K48" s="210"/>
      <c r="L48" s="210"/>
    </row>
    <row r="49" spans="1:12" ht="13.5" thickBot="1">
      <c r="A49" s="219"/>
      <c r="B49" s="220" t="s">
        <v>544</v>
      </c>
      <c r="C49" s="210"/>
      <c r="D49" s="210"/>
      <c r="E49" s="276"/>
      <c r="F49" s="276"/>
      <c r="G49" s="210"/>
      <c r="H49" s="210"/>
      <c r="I49" s="210"/>
      <c r="J49" s="210"/>
      <c r="K49" s="210"/>
      <c r="L49" s="210"/>
    </row>
    <row r="50" spans="1:12" ht="13.5" thickBot="1">
      <c r="A50" s="712" t="s">
        <v>806</v>
      </c>
      <c r="B50" s="714"/>
      <c r="C50" s="210"/>
      <c r="D50" s="210"/>
      <c r="E50" s="276"/>
      <c r="F50" s="276"/>
      <c r="G50" s="210"/>
      <c r="H50" s="210"/>
      <c r="I50" s="210"/>
      <c r="J50" s="210"/>
      <c r="K50" s="210"/>
      <c r="L50" s="210"/>
    </row>
    <row r="52" ht="15">
      <c r="A52" s="204" t="s">
        <v>807</v>
      </c>
    </row>
    <row r="53" ht="15">
      <c r="A53" s="204" t="s">
        <v>808</v>
      </c>
    </row>
    <row r="55" ht="15">
      <c r="A55" s="204" t="s">
        <v>809</v>
      </c>
    </row>
    <row r="57" spans="1:9" ht="15">
      <c r="A57" s="204" t="s">
        <v>533</v>
      </c>
      <c r="D57" s="215"/>
      <c r="F57" s="289" t="s">
        <v>980</v>
      </c>
      <c r="G57" s="215"/>
      <c r="H57" s="215"/>
      <c r="I57" s="215"/>
    </row>
    <row r="58" spans="1:4" ht="15">
      <c r="A58" s="204" t="s">
        <v>534</v>
      </c>
      <c r="D58" s="223" t="s">
        <v>655</v>
      </c>
    </row>
  </sheetData>
  <sheetProtection/>
  <mergeCells count="10">
    <mergeCell ref="A50:B50"/>
    <mergeCell ref="A9:L9"/>
    <mergeCell ref="A10:L10"/>
    <mergeCell ref="A11:L11"/>
    <mergeCell ref="A13:A14"/>
    <mergeCell ref="B13:B14"/>
    <mergeCell ref="C13:C14"/>
    <mergeCell ref="D13:F13"/>
    <mergeCell ref="G13:I13"/>
    <mergeCell ref="J13:L13"/>
  </mergeCells>
  <printOptions/>
  <pageMargins left="0" right="0" top="0" bottom="0" header="0" footer="0"/>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K5" sqref="K5"/>
    </sheetView>
  </sheetViews>
  <sheetFormatPr defaultColWidth="8.875" defaultRowHeight="12.75"/>
  <cols>
    <col min="1" max="1" width="7.375" style="32" customWidth="1"/>
    <col min="2" max="2" width="52.25390625" style="13" customWidth="1"/>
    <col min="3" max="3" width="18.75390625" style="13" customWidth="1"/>
    <col min="4" max="4" width="18.375" style="13" customWidth="1"/>
    <col min="5" max="5" width="20.25390625" style="13" customWidth="1"/>
    <col min="6" max="6" width="19.375" style="13" customWidth="1"/>
    <col min="7" max="7" width="21.00390625" style="13" customWidth="1"/>
    <col min="8" max="8" width="19.625" style="13" customWidth="1"/>
    <col min="9" max="9" width="19.125" style="13" customWidth="1"/>
    <col min="10" max="10" width="19.00390625" style="13" customWidth="1"/>
    <col min="11" max="11" width="27.25390625" style="13" customWidth="1"/>
    <col min="12" max="12" width="19.25390625" style="13" customWidth="1"/>
    <col min="13" max="16384" width="8.875" style="13" customWidth="1"/>
  </cols>
  <sheetData>
    <row r="3" ht="15.75">
      <c r="L3" s="116" t="s">
        <v>257</v>
      </c>
    </row>
    <row r="4" ht="18.7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8.75">
      <c r="A8" s="791" t="s">
        <v>249</v>
      </c>
      <c r="B8" s="792"/>
      <c r="C8" s="792"/>
      <c r="D8" s="792"/>
      <c r="E8" s="792"/>
      <c r="F8" s="792"/>
      <c r="G8" s="792"/>
      <c r="H8" s="792"/>
      <c r="I8" s="792"/>
      <c r="J8" s="792"/>
      <c r="K8" s="792"/>
      <c r="L8" s="698"/>
    </row>
    <row r="9" spans="1:12" s="19" customFormat="1" ht="18.75">
      <c r="A9" s="14"/>
      <c r="B9" s="15"/>
      <c r="C9" s="15"/>
      <c r="D9" s="15"/>
      <c r="E9" s="15"/>
      <c r="F9" s="15"/>
      <c r="G9" s="15"/>
      <c r="H9" s="15"/>
      <c r="I9" s="15"/>
      <c r="J9" s="15"/>
      <c r="K9" s="15"/>
      <c r="L9" s="7"/>
    </row>
    <row r="10" spans="1:12" s="19" customFormat="1" ht="18.75">
      <c r="A10" s="25"/>
      <c r="B10" s="793"/>
      <c r="C10" s="794"/>
      <c r="D10" s="794"/>
      <c r="E10" s="794"/>
      <c r="F10" s="794"/>
      <c r="G10" s="794"/>
      <c r="H10" s="794"/>
      <c r="I10" s="794"/>
      <c r="J10" s="794"/>
      <c r="K10" s="794"/>
      <c r="L10" s="794"/>
    </row>
    <row r="11" spans="1:12" s="20" customFormat="1" ht="15.75" customHeight="1">
      <c r="A11" s="28"/>
      <c r="B11" s="795" t="s">
        <v>187</v>
      </c>
      <c r="C11" s="795"/>
      <c r="D11" s="795"/>
      <c r="E11" s="795"/>
      <c r="F11" s="795"/>
      <c r="G11" s="795"/>
      <c r="H11" s="795"/>
      <c r="I11" s="795"/>
      <c r="J11" s="795"/>
      <c r="K11" s="795"/>
      <c r="L11" s="795"/>
    </row>
    <row r="12" s="19" customFormat="1" ht="0.75" customHeight="1" thickBot="1">
      <c r="A12" s="29"/>
    </row>
    <row r="13" spans="1:12" s="19" customFormat="1" ht="31.5" customHeight="1" thickBot="1">
      <c r="A13" s="782" t="s">
        <v>194</v>
      </c>
      <c r="B13" s="782" t="s">
        <v>195</v>
      </c>
      <c r="C13" s="796" t="s">
        <v>196</v>
      </c>
      <c r="D13" s="782" t="s">
        <v>208</v>
      </c>
      <c r="E13" s="801" t="s">
        <v>229</v>
      </c>
      <c r="F13" s="801"/>
      <c r="G13" s="801"/>
      <c r="H13" s="801"/>
      <c r="I13" s="782" t="s">
        <v>197</v>
      </c>
      <c r="J13" s="782" t="s">
        <v>198</v>
      </c>
      <c r="K13" s="779" t="s">
        <v>199</v>
      </c>
      <c r="L13" s="782" t="s">
        <v>238</v>
      </c>
    </row>
    <row r="14" spans="1:12" s="19" customFormat="1" ht="16.5" thickBot="1">
      <c r="A14" s="783"/>
      <c r="B14" s="783"/>
      <c r="C14" s="797"/>
      <c r="D14" s="799"/>
      <c r="E14" s="782" t="s">
        <v>193</v>
      </c>
      <c r="F14" s="785" t="s">
        <v>200</v>
      </c>
      <c r="G14" s="786"/>
      <c r="H14" s="786"/>
      <c r="I14" s="783"/>
      <c r="J14" s="783"/>
      <c r="K14" s="780"/>
      <c r="L14" s="783"/>
    </row>
    <row r="15" spans="1:12" s="19" customFormat="1" ht="61.5" customHeight="1" thickBot="1">
      <c r="A15" s="784"/>
      <c r="B15" s="784"/>
      <c r="C15" s="798"/>
      <c r="D15" s="800"/>
      <c r="E15" s="784"/>
      <c r="F15" s="83" t="s">
        <v>201</v>
      </c>
      <c r="G15" s="35" t="s">
        <v>202</v>
      </c>
      <c r="H15" s="37" t="s">
        <v>203</v>
      </c>
      <c r="I15" s="784"/>
      <c r="J15" s="784"/>
      <c r="K15" s="781"/>
      <c r="L15" s="784"/>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1.5">
      <c r="A18" s="53" t="s">
        <v>131</v>
      </c>
      <c r="B18" s="70" t="s">
        <v>210</v>
      </c>
      <c r="C18" s="65"/>
      <c r="D18" s="47"/>
      <c r="E18" s="47"/>
      <c r="F18" s="84"/>
      <c r="G18" s="47"/>
      <c r="H18" s="47"/>
      <c r="I18" s="47"/>
      <c r="J18" s="47"/>
      <c r="K18" s="84"/>
      <c r="L18" s="56"/>
    </row>
    <row r="19" spans="1:12" s="19" customFormat="1" ht="31.5">
      <c r="A19" s="54" t="s">
        <v>211</v>
      </c>
      <c r="B19" s="71" t="s">
        <v>212</v>
      </c>
      <c r="C19" s="66"/>
      <c r="D19" s="49"/>
      <c r="E19" s="49"/>
      <c r="F19" s="85"/>
      <c r="G19" s="48"/>
      <c r="H19" s="48"/>
      <c r="I19" s="48"/>
      <c r="J19" s="48"/>
      <c r="K19" s="85"/>
      <c r="L19" s="57"/>
    </row>
    <row r="20" spans="1:12" s="19" customFormat="1" ht="31.5">
      <c r="A20" s="54" t="s">
        <v>190</v>
      </c>
      <c r="B20" s="71" t="s">
        <v>213</v>
      </c>
      <c r="C20" s="66"/>
      <c r="D20" s="49"/>
      <c r="E20" s="49"/>
      <c r="F20" s="85"/>
      <c r="G20" s="48"/>
      <c r="H20" s="48"/>
      <c r="I20" s="48"/>
      <c r="J20" s="48"/>
      <c r="K20" s="85"/>
      <c r="L20" s="57"/>
    </row>
    <row r="21" spans="1:12" s="19" customFormat="1" ht="15.7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787" t="s">
        <v>227</v>
      </c>
      <c r="B37" s="788"/>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789" t="s">
        <v>225</v>
      </c>
      <c r="C39" s="790"/>
      <c r="D39" s="790"/>
      <c r="E39" s="790"/>
      <c r="F39" s="790"/>
      <c r="G39" s="790"/>
      <c r="H39" s="790"/>
      <c r="I39" s="790"/>
      <c r="J39" s="790"/>
      <c r="K39" s="790"/>
    </row>
    <row r="40" s="19" customFormat="1" ht="15.75">
      <c r="A40" s="30"/>
    </row>
    <row r="41" spans="1:8" s="19" customFormat="1" ht="15.75">
      <c r="A41" s="30"/>
      <c r="B41" s="22" t="s">
        <v>207</v>
      </c>
      <c r="C41" s="22"/>
      <c r="D41" s="22"/>
      <c r="E41" s="22" t="s">
        <v>220</v>
      </c>
      <c r="F41" s="22"/>
      <c r="G41" s="777" t="s">
        <v>221</v>
      </c>
      <c r="H41" s="777"/>
    </row>
    <row r="42" spans="1:8" s="19" customFormat="1" ht="15.75">
      <c r="A42" s="30"/>
      <c r="B42" s="22" t="s">
        <v>186</v>
      </c>
      <c r="C42" s="22"/>
      <c r="D42" s="22"/>
      <c r="E42" s="96" t="s">
        <v>1</v>
      </c>
      <c r="F42" s="63"/>
      <c r="G42" s="778" t="s">
        <v>2</v>
      </c>
      <c r="H42" s="778"/>
    </row>
    <row r="43" spans="1:8" s="19" customFormat="1" ht="15.75">
      <c r="A43" s="30"/>
      <c r="B43" s="22"/>
      <c r="C43" s="22"/>
      <c r="D43" s="22"/>
      <c r="E43" s="22"/>
      <c r="F43" s="22"/>
      <c r="G43" s="22"/>
      <c r="H43" s="22"/>
    </row>
    <row r="44" spans="1:8" s="19" customFormat="1" ht="15.75">
      <c r="A44" s="30"/>
      <c r="B44" s="22" t="s">
        <v>185</v>
      </c>
      <c r="C44" s="22"/>
      <c r="D44" s="22"/>
      <c r="E44" s="22" t="s">
        <v>220</v>
      </c>
      <c r="F44" s="22"/>
      <c r="G44" s="22" t="s">
        <v>222</v>
      </c>
      <c r="H44" s="22"/>
    </row>
    <row r="45" spans="1:8" s="19" customFormat="1" ht="15.75">
      <c r="A45" s="30"/>
      <c r="B45" s="81" t="s">
        <v>186</v>
      </c>
      <c r="C45" s="22"/>
      <c r="D45" s="22"/>
      <c r="E45" s="96" t="s">
        <v>1</v>
      </c>
      <c r="F45" s="63"/>
      <c r="G45" s="778" t="s">
        <v>2</v>
      </c>
      <c r="H45" s="778"/>
    </row>
    <row r="46" spans="1:8" s="19" customFormat="1" ht="15.75">
      <c r="A46" s="30"/>
      <c r="B46" s="22"/>
      <c r="C46" s="22"/>
      <c r="D46" s="22"/>
      <c r="E46" s="22"/>
      <c r="F46" s="22"/>
      <c r="G46" s="22"/>
      <c r="H46" s="22"/>
    </row>
    <row r="47" spans="1:8" s="19" customFormat="1" ht="15.75">
      <c r="A47" s="30"/>
      <c r="B47" s="22"/>
      <c r="C47" s="22"/>
      <c r="D47" s="22"/>
      <c r="E47" s="22"/>
      <c r="F47" s="22"/>
      <c r="G47" s="22"/>
      <c r="H47" s="22"/>
    </row>
    <row r="48" spans="1:8" s="19" customFormat="1" ht="15.75">
      <c r="A48" s="30"/>
      <c r="B48" s="22"/>
      <c r="C48" s="22"/>
      <c r="D48" s="22"/>
      <c r="E48" s="22"/>
      <c r="F48" s="22"/>
      <c r="G48" s="22"/>
      <c r="H48" s="22"/>
    </row>
    <row r="49" spans="1:8" s="11" customFormat="1" ht="18.75">
      <c r="A49" s="27"/>
      <c r="B49" s="24"/>
      <c r="C49" s="24"/>
      <c r="D49" s="24"/>
      <c r="E49" s="24"/>
      <c r="F49" s="24"/>
      <c r="G49" s="24"/>
      <c r="H49" s="24"/>
    </row>
    <row r="50" spans="1:8" s="11" customFormat="1" ht="18.75">
      <c r="A50" s="27"/>
      <c r="B50" s="24"/>
      <c r="C50" s="24"/>
      <c r="D50" s="24"/>
      <c r="E50" s="24"/>
      <c r="F50" s="24"/>
      <c r="G50" s="24"/>
      <c r="H50" s="24"/>
    </row>
    <row r="51" s="11" customFormat="1" ht="18.75">
      <c r="A51" s="27"/>
    </row>
    <row r="52" s="11" customFormat="1" ht="18.75">
      <c r="A52" s="27"/>
    </row>
    <row r="53" s="11" customFormat="1" ht="18.75">
      <c r="A53" s="27"/>
    </row>
  </sheetData>
  <sheetProtection/>
  <mergeCells count="19">
    <mergeCell ref="A37:B37"/>
    <mergeCell ref="B39:K39"/>
    <mergeCell ref="A8:L8"/>
    <mergeCell ref="B10:L10"/>
    <mergeCell ref="B11:L11"/>
    <mergeCell ref="A13:A15"/>
    <mergeCell ref="B13:B15"/>
    <mergeCell ref="C13:C15"/>
    <mergeCell ref="D13:D15"/>
    <mergeCell ref="E13:H13"/>
    <mergeCell ref="G41:H41"/>
    <mergeCell ref="G42:H42"/>
    <mergeCell ref="G45:H45"/>
    <mergeCell ref="K13:K15"/>
    <mergeCell ref="L13:L15"/>
    <mergeCell ref="E14:E15"/>
    <mergeCell ref="F14:H14"/>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D26" sqref="D26"/>
    </sheetView>
  </sheetViews>
  <sheetFormatPr defaultColWidth="8.875" defaultRowHeight="12.75"/>
  <cols>
    <col min="1" max="1" width="7.375" style="32" customWidth="1"/>
    <col min="2" max="2" width="52.25390625" style="13" customWidth="1"/>
    <col min="3" max="3" width="18.75390625" style="13" customWidth="1"/>
    <col min="4" max="4" width="18.375" style="13" customWidth="1"/>
    <col min="5" max="5" width="20.25390625" style="13" customWidth="1"/>
    <col min="6" max="6" width="19.375" style="13" customWidth="1"/>
    <col min="7" max="7" width="21.00390625" style="13" customWidth="1"/>
    <col min="8" max="8" width="19.625" style="13" customWidth="1"/>
    <col min="9" max="9" width="19.125" style="13" customWidth="1"/>
    <col min="10" max="10" width="19.00390625" style="13" customWidth="1"/>
    <col min="11" max="11" width="27.25390625" style="13" customWidth="1"/>
    <col min="12" max="12" width="19.25390625" style="13" customWidth="1"/>
    <col min="13" max="16384" width="8.875" style="13" customWidth="1"/>
  </cols>
  <sheetData>
    <row r="3" ht="15.75">
      <c r="L3" s="116" t="s">
        <v>256</v>
      </c>
    </row>
    <row r="4" ht="18.7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8.75">
      <c r="A8" s="791" t="s">
        <v>248</v>
      </c>
      <c r="B8" s="792"/>
      <c r="C8" s="792"/>
      <c r="D8" s="792"/>
      <c r="E8" s="792"/>
      <c r="F8" s="792"/>
      <c r="G8" s="792"/>
      <c r="H8" s="792"/>
      <c r="I8" s="792"/>
      <c r="J8" s="792"/>
      <c r="K8" s="792"/>
      <c r="L8" s="698"/>
    </row>
    <row r="9" spans="1:12" s="19" customFormat="1" ht="18.75">
      <c r="A9" s="14"/>
      <c r="B9" s="15"/>
      <c r="C9" s="15"/>
      <c r="D9" s="15"/>
      <c r="E9" s="15"/>
      <c r="F9" s="15"/>
      <c r="G9" s="15"/>
      <c r="H9" s="15"/>
      <c r="I9" s="15"/>
      <c r="J9" s="15"/>
      <c r="K9" s="15"/>
      <c r="L9" s="7"/>
    </row>
    <row r="10" spans="1:12" s="19" customFormat="1" ht="18.75">
      <c r="A10" s="25"/>
      <c r="B10" s="793"/>
      <c r="C10" s="794"/>
      <c r="D10" s="794"/>
      <c r="E10" s="794"/>
      <c r="F10" s="794"/>
      <c r="G10" s="794"/>
      <c r="H10" s="794"/>
      <c r="I10" s="794"/>
      <c r="J10" s="794"/>
      <c r="K10" s="794"/>
      <c r="L10" s="794"/>
    </row>
    <row r="11" spans="1:12" s="20" customFormat="1" ht="15.75" customHeight="1">
      <c r="A11" s="28"/>
      <c r="B11" s="795" t="s">
        <v>187</v>
      </c>
      <c r="C11" s="795"/>
      <c r="D11" s="795"/>
      <c r="E11" s="795"/>
      <c r="F11" s="795"/>
      <c r="G11" s="795"/>
      <c r="H11" s="795"/>
      <c r="I11" s="795"/>
      <c r="J11" s="795"/>
      <c r="K11" s="795"/>
      <c r="L11" s="795"/>
    </row>
    <row r="12" s="19" customFormat="1" ht="0.75" customHeight="1" thickBot="1">
      <c r="A12" s="29"/>
    </row>
    <row r="13" spans="1:12" s="19" customFormat="1" ht="31.5" customHeight="1" thickBot="1">
      <c r="A13" s="782" t="s">
        <v>194</v>
      </c>
      <c r="B13" s="782" t="s">
        <v>195</v>
      </c>
      <c r="C13" s="796" t="s">
        <v>196</v>
      </c>
      <c r="D13" s="782" t="s">
        <v>208</v>
      </c>
      <c r="E13" s="801" t="s">
        <v>229</v>
      </c>
      <c r="F13" s="801"/>
      <c r="G13" s="801"/>
      <c r="H13" s="801"/>
      <c r="I13" s="782" t="s">
        <v>197</v>
      </c>
      <c r="J13" s="782" t="s">
        <v>198</v>
      </c>
      <c r="K13" s="779" t="s">
        <v>199</v>
      </c>
      <c r="L13" s="782" t="s">
        <v>238</v>
      </c>
    </row>
    <row r="14" spans="1:12" s="19" customFormat="1" ht="16.5" thickBot="1">
      <c r="A14" s="783"/>
      <c r="B14" s="783"/>
      <c r="C14" s="797"/>
      <c r="D14" s="799"/>
      <c r="E14" s="782" t="s">
        <v>193</v>
      </c>
      <c r="F14" s="785" t="s">
        <v>200</v>
      </c>
      <c r="G14" s="786"/>
      <c r="H14" s="786"/>
      <c r="I14" s="783"/>
      <c r="J14" s="783"/>
      <c r="K14" s="780"/>
      <c r="L14" s="783"/>
    </row>
    <row r="15" spans="1:12" s="19" customFormat="1" ht="61.5" customHeight="1" thickBot="1">
      <c r="A15" s="784"/>
      <c r="B15" s="784"/>
      <c r="C15" s="798"/>
      <c r="D15" s="800"/>
      <c r="E15" s="784"/>
      <c r="F15" s="83" t="s">
        <v>201</v>
      </c>
      <c r="G15" s="35" t="s">
        <v>202</v>
      </c>
      <c r="H15" s="37" t="s">
        <v>203</v>
      </c>
      <c r="I15" s="784"/>
      <c r="J15" s="784"/>
      <c r="K15" s="781"/>
      <c r="L15" s="784"/>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1.5">
      <c r="A18" s="53" t="s">
        <v>131</v>
      </c>
      <c r="B18" s="70" t="s">
        <v>210</v>
      </c>
      <c r="C18" s="65"/>
      <c r="D18" s="47"/>
      <c r="E18" s="47"/>
      <c r="F18" s="84"/>
      <c r="G18" s="47"/>
      <c r="H18" s="47"/>
      <c r="I18" s="47"/>
      <c r="J18" s="47"/>
      <c r="K18" s="84"/>
      <c r="L18" s="56"/>
    </row>
    <row r="19" spans="1:12" s="19" customFormat="1" ht="31.5">
      <c r="A19" s="54" t="s">
        <v>211</v>
      </c>
      <c r="B19" s="71" t="s">
        <v>212</v>
      </c>
      <c r="C19" s="66"/>
      <c r="D19" s="49"/>
      <c r="E19" s="49"/>
      <c r="F19" s="85"/>
      <c r="G19" s="48"/>
      <c r="H19" s="48"/>
      <c r="I19" s="48"/>
      <c r="J19" s="48"/>
      <c r="K19" s="85"/>
      <c r="L19" s="57"/>
    </row>
    <row r="20" spans="1:12" s="19" customFormat="1" ht="31.5">
      <c r="A20" s="54" t="s">
        <v>190</v>
      </c>
      <c r="B20" s="71" t="s">
        <v>213</v>
      </c>
      <c r="C20" s="66"/>
      <c r="D20" s="49"/>
      <c r="E20" s="49"/>
      <c r="F20" s="85"/>
      <c r="G20" s="48"/>
      <c r="H20" s="48"/>
      <c r="I20" s="48"/>
      <c r="J20" s="48"/>
      <c r="K20" s="85"/>
      <c r="L20" s="57"/>
    </row>
    <row r="21" spans="1:12" s="19" customFormat="1" ht="15.7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787" t="s">
        <v>227</v>
      </c>
      <c r="B37" s="788"/>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789" t="s">
        <v>225</v>
      </c>
      <c r="C39" s="790"/>
      <c r="D39" s="790"/>
      <c r="E39" s="790"/>
      <c r="F39" s="790"/>
      <c r="G39" s="790"/>
      <c r="H39" s="790"/>
      <c r="I39" s="790"/>
      <c r="J39" s="790"/>
      <c r="K39" s="790"/>
    </row>
    <row r="40" s="19" customFormat="1" ht="15.75">
      <c r="A40" s="30"/>
    </row>
    <row r="41" spans="1:8" s="19" customFormat="1" ht="15.75">
      <c r="A41" s="30"/>
      <c r="B41" s="22" t="s">
        <v>207</v>
      </c>
      <c r="C41" s="22"/>
      <c r="D41" s="22"/>
      <c r="E41" s="22" t="s">
        <v>220</v>
      </c>
      <c r="F41" s="22"/>
      <c r="G41" s="777" t="s">
        <v>221</v>
      </c>
      <c r="H41" s="777"/>
    </row>
    <row r="42" spans="1:8" s="19" customFormat="1" ht="15.75">
      <c r="A42" s="30"/>
      <c r="B42" s="22" t="s">
        <v>186</v>
      </c>
      <c r="C42" s="22"/>
      <c r="D42" s="22"/>
      <c r="E42" s="96" t="s">
        <v>1</v>
      </c>
      <c r="F42" s="63"/>
      <c r="G42" s="778" t="s">
        <v>2</v>
      </c>
      <c r="H42" s="778"/>
    </row>
    <row r="43" spans="1:8" s="19" customFormat="1" ht="15.75">
      <c r="A43" s="30"/>
      <c r="B43" s="22"/>
      <c r="C43" s="22"/>
      <c r="D43" s="22"/>
      <c r="E43" s="22"/>
      <c r="F43" s="22"/>
      <c r="G43" s="22"/>
      <c r="H43" s="22"/>
    </row>
    <row r="44" spans="1:8" s="19" customFormat="1" ht="15.75">
      <c r="A44" s="30"/>
      <c r="B44" s="22" t="s">
        <v>185</v>
      </c>
      <c r="C44" s="22"/>
      <c r="D44" s="22"/>
      <c r="E44" s="22" t="s">
        <v>220</v>
      </c>
      <c r="F44" s="22"/>
      <c r="G44" s="22" t="s">
        <v>222</v>
      </c>
      <c r="H44" s="22"/>
    </row>
    <row r="45" spans="1:8" s="19" customFormat="1" ht="15.75">
      <c r="A45" s="30"/>
      <c r="B45" s="81" t="s">
        <v>186</v>
      </c>
      <c r="C45" s="22"/>
      <c r="D45" s="22"/>
      <c r="E45" s="96" t="s">
        <v>1</v>
      </c>
      <c r="F45" s="63"/>
      <c r="G45" s="778" t="s">
        <v>2</v>
      </c>
      <c r="H45" s="778"/>
    </row>
    <row r="46" spans="1:8" s="19" customFormat="1" ht="15.75">
      <c r="A46" s="30"/>
      <c r="B46" s="22"/>
      <c r="C46" s="22"/>
      <c r="D46" s="22"/>
      <c r="E46" s="22"/>
      <c r="F46" s="22"/>
      <c r="G46" s="22"/>
      <c r="H46" s="22"/>
    </row>
    <row r="47" spans="1:8" s="19" customFormat="1" ht="15.75">
      <c r="A47" s="30"/>
      <c r="B47" s="22"/>
      <c r="C47" s="22"/>
      <c r="D47" s="22"/>
      <c r="E47" s="22"/>
      <c r="F47" s="22"/>
      <c r="G47" s="22"/>
      <c r="H47" s="22"/>
    </row>
    <row r="48" spans="1:8" s="19" customFormat="1" ht="15.75">
      <c r="A48" s="30"/>
      <c r="B48" s="22"/>
      <c r="C48" s="22"/>
      <c r="D48" s="22"/>
      <c r="E48" s="22"/>
      <c r="F48" s="22"/>
      <c r="G48" s="22"/>
      <c r="H48" s="22"/>
    </row>
    <row r="49" spans="1:8" s="11" customFormat="1" ht="18.75">
      <c r="A49" s="27"/>
      <c r="B49" s="24"/>
      <c r="C49" s="24"/>
      <c r="D49" s="24"/>
      <c r="E49" s="24"/>
      <c r="F49" s="24"/>
      <c r="G49" s="24"/>
      <c r="H49" s="24"/>
    </row>
    <row r="50" spans="1:8" s="11" customFormat="1" ht="18.75">
      <c r="A50" s="27"/>
      <c r="B50" s="24"/>
      <c r="C50" s="24"/>
      <c r="D50" s="24"/>
      <c r="E50" s="24"/>
      <c r="F50" s="24"/>
      <c r="G50" s="24"/>
      <c r="H50" s="24"/>
    </row>
    <row r="51" s="11" customFormat="1" ht="18.75">
      <c r="A51" s="27"/>
    </row>
    <row r="52" s="11" customFormat="1" ht="18.75">
      <c r="A52" s="27"/>
    </row>
    <row r="53" s="11" customFormat="1" ht="18.75">
      <c r="A53" s="27"/>
    </row>
  </sheetData>
  <sheetProtection/>
  <mergeCells count="19">
    <mergeCell ref="A37:B37"/>
    <mergeCell ref="B39:K39"/>
    <mergeCell ref="A8:L8"/>
    <mergeCell ref="B10:L10"/>
    <mergeCell ref="B11:L11"/>
    <mergeCell ref="A13:A15"/>
    <mergeCell ref="B13:B15"/>
    <mergeCell ref="C13:C15"/>
    <mergeCell ref="D13:D15"/>
    <mergeCell ref="E13:H13"/>
    <mergeCell ref="G41:H41"/>
    <mergeCell ref="G42:H42"/>
    <mergeCell ref="G45:H45"/>
    <mergeCell ref="K13:K15"/>
    <mergeCell ref="L13:L15"/>
    <mergeCell ref="E14:E15"/>
    <mergeCell ref="F14:H14"/>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B26" sqref="B26"/>
    </sheetView>
  </sheetViews>
  <sheetFormatPr defaultColWidth="8.875" defaultRowHeight="12.75"/>
  <cols>
    <col min="1" max="1" width="7.375" style="32" customWidth="1"/>
    <col min="2" max="2" width="52.25390625" style="13" customWidth="1"/>
    <col min="3" max="3" width="18.75390625" style="13" customWidth="1"/>
    <col min="4" max="4" width="18.375" style="13" customWidth="1"/>
    <col min="5" max="5" width="20.25390625" style="13" customWidth="1"/>
    <col min="6" max="6" width="19.375" style="13" customWidth="1"/>
    <col min="7" max="7" width="21.00390625" style="13" customWidth="1"/>
    <col min="8" max="8" width="19.625" style="13" customWidth="1"/>
    <col min="9" max="9" width="19.125" style="13" customWidth="1"/>
    <col min="10" max="10" width="19.00390625" style="13" customWidth="1"/>
    <col min="11" max="11" width="27.25390625" style="13" customWidth="1"/>
    <col min="12" max="12" width="19.25390625" style="13" customWidth="1"/>
    <col min="13" max="16384" width="8.875" style="13" customWidth="1"/>
  </cols>
  <sheetData>
    <row r="3" ht="15.75">
      <c r="L3" s="116" t="s">
        <v>255</v>
      </c>
    </row>
    <row r="4" ht="18.7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8.75">
      <c r="A8" s="791" t="s">
        <v>247</v>
      </c>
      <c r="B8" s="792"/>
      <c r="C8" s="792"/>
      <c r="D8" s="792"/>
      <c r="E8" s="792"/>
      <c r="F8" s="792"/>
      <c r="G8" s="792"/>
      <c r="H8" s="792"/>
      <c r="I8" s="792"/>
      <c r="J8" s="792"/>
      <c r="K8" s="792"/>
      <c r="L8" s="698"/>
    </row>
    <row r="9" spans="1:12" s="19" customFormat="1" ht="18.75">
      <c r="A9" s="14"/>
      <c r="B9" s="15"/>
      <c r="C9" s="15"/>
      <c r="D9" s="15"/>
      <c r="E9" s="15"/>
      <c r="F9" s="15"/>
      <c r="G9" s="15"/>
      <c r="H9" s="15"/>
      <c r="I9" s="15"/>
      <c r="J9" s="15"/>
      <c r="K9" s="15"/>
      <c r="L9" s="7"/>
    </row>
    <row r="10" spans="1:12" s="19" customFormat="1" ht="18.75">
      <c r="A10" s="25"/>
      <c r="B10" s="793"/>
      <c r="C10" s="794"/>
      <c r="D10" s="794"/>
      <c r="E10" s="794"/>
      <c r="F10" s="794"/>
      <c r="G10" s="794"/>
      <c r="H10" s="794"/>
      <c r="I10" s="794"/>
      <c r="J10" s="794"/>
      <c r="K10" s="794"/>
      <c r="L10" s="794"/>
    </row>
    <row r="11" spans="1:12" s="20" customFormat="1" ht="15.75" customHeight="1">
      <c r="A11" s="28"/>
      <c r="B11" s="795" t="s">
        <v>187</v>
      </c>
      <c r="C11" s="795"/>
      <c r="D11" s="795"/>
      <c r="E11" s="795"/>
      <c r="F11" s="795"/>
      <c r="G11" s="795"/>
      <c r="H11" s="795"/>
      <c r="I11" s="795"/>
      <c r="J11" s="795"/>
      <c r="K11" s="795"/>
      <c r="L11" s="795"/>
    </row>
    <row r="12" s="19" customFormat="1" ht="0.75" customHeight="1" thickBot="1">
      <c r="A12" s="29"/>
    </row>
    <row r="13" spans="1:12" s="19" customFormat="1" ht="31.5" customHeight="1" thickBot="1">
      <c r="A13" s="782" t="s">
        <v>194</v>
      </c>
      <c r="B13" s="782" t="s">
        <v>195</v>
      </c>
      <c r="C13" s="796" t="s">
        <v>196</v>
      </c>
      <c r="D13" s="782" t="s">
        <v>208</v>
      </c>
      <c r="E13" s="801" t="s">
        <v>229</v>
      </c>
      <c r="F13" s="801"/>
      <c r="G13" s="801"/>
      <c r="H13" s="801"/>
      <c r="I13" s="782" t="s">
        <v>197</v>
      </c>
      <c r="J13" s="782" t="s">
        <v>198</v>
      </c>
      <c r="K13" s="779" t="s">
        <v>199</v>
      </c>
      <c r="L13" s="782" t="s">
        <v>238</v>
      </c>
    </row>
    <row r="14" spans="1:12" s="19" customFormat="1" ht="16.5" thickBot="1">
      <c r="A14" s="783"/>
      <c r="B14" s="783"/>
      <c r="C14" s="797"/>
      <c r="D14" s="799"/>
      <c r="E14" s="782" t="s">
        <v>193</v>
      </c>
      <c r="F14" s="785" t="s">
        <v>200</v>
      </c>
      <c r="G14" s="786"/>
      <c r="H14" s="786"/>
      <c r="I14" s="783"/>
      <c r="J14" s="783"/>
      <c r="K14" s="780"/>
      <c r="L14" s="783"/>
    </row>
    <row r="15" spans="1:12" s="19" customFormat="1" ht="61.5" customHeight="1" thickBot="1">
      <c r="A15" s="784"/>
      <c r="B15" s="784"/>
      <c r="C15" s="798"/>
      <c r="D15" s="800"/>
      <c r="E15" s="784"/>
      <c r="F15" s="83" t="s">
        <v>201</v>
      </c>
      <c r="G15" s="35" t="s">
        <v>202</v>
      </c>
      <c r="H15" s="37" t="s">
        <v>203</v>
      </c>
      <c r="I15" s="784"/>
      <c r="J15" s="784"/>
      <c r="K15" s="781"/>
      <c r="L15" s="784"/>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1.5">
      <c r="A18" s="53" t="s">
        <v>131</v>
      </c>
      <c r="B18" s="70" t="s">
        <v>210</v>
      </c>
      <c r="C18" s="65"/>
      <c r="D18" s="47"/>
      <c r="E18" s="47"/>
      <c r="F18" s="84"/>
      <c r="G18" s="47"/>
      <c r="H18" s="47"/>
      <c r="I18" s="47"/>
      <c r="J18" s="47"/>
      <c r="K18" s="84"/>
      <c r="L18" s="56"/>
    </row>
    <row r="19" spans="1:12" s="19" customFormat="1" ht="31.5">
      <c r="A19" s="54" t="s">
        <v>211</v>
      </c>
      <c r="B19" s="71" t="s">
        <v>212</v>
      </c>
      <c r="C19" s="66"/>
      <c r="D19" s="49"/>
      <c r="E19" s="49"/>
      <c r="F19" s="85"/>
      <c r="G19" s="48"/>
      <c r="H19" s="48"/>
      <c r="I19" s="48"/>
      <c r="J19" s="48"/>
      <c r="K19" s="85"/>
      <c r="L19" s="57"/>
    </row>
    <row r="20" spans="1:12" s="19" customFormat="1" ht="31.5">
      <c r="A20" s="54" t="s">
        <v>190</v>
      </c>
      <c r="B20" s="71" t="s">
        <v>213</v>
      </c>
      <c r="C20" s="66"/>
      <c r="D20" s="49"/>
      <c r="E20" s="49"/>
      <c r="F20" s="85"/>
      <c r="G20" s="48"/>
      <c r="H20" s="48"/>
      <c r="I20" s="48"/>
      <c r="J20" s="48"/>
      <c r="K20" s="85"/>
      <c r="L20" s="57"/>
    </row>
    <row r="21" spans="1:12" s="19" customFormat="1" ht="15.7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787" t="s">
        <v>227</v>
      </c>
      <c r="B37" s="788"/>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789" t="s">
        <v>225</v>
      </c>
      <c r="C39" s="790"/>
      <c r="D39" s="790"/>
      <c r="E39" s="790"/>
      <c r="F39" s="790"/>
      <c r="G39" s="790"/>
      <c r="H39" s="790"/>
      <c r="I39" s="790"/>
      <c r="J39" s="790"/>
      <c r="K39" s="790"/>
    </row>
    <row r="40" s="19" customFormat="1" ht="15.75">
      <c r="A40" s="30"/>
    </row>
    <row r="41" spans="1:8" s="19" customFormat="1" ht="15.75">
      <c r="A41" s="30"/>
      <c r="B41" s="22" t="s">
        <v>207</v>
      </c>
      <c r="C41" s="22"/>
      <c r="D41" s="22"/>
      <c r="E41" s="22" t="s">
        <v>220</v>
      </c>
      <c r="F41" s="22"/>
      <c r="G41" s="777" t="s">
        <v>221</v>
      </c>
      <c r="H41" s="777"/>
    </row>
    <row r="42" spans="1:8" s="19" customFormat="1" ht="15.75">
      <c r="A42" s="30"/>
      <c r="B42" s="22" t="s">
        <v>186</v>
      </c>
      <c r="C42" s="22"/>
      <c r="D42" s="22"/>
      <c r="E42" s="96" t="s">
        <v>1</v>
      </c>
      <c r="F42" s="63"/>
      <c r="G42" s="778" t="s">
        <v>2</v>
      </c>
      <c r="H42" s="778"/>
    </row>
    <row r="43" spans="1:8" s="19" customFormat="1" ht="15.75">
      <c r="A43" s="30"/>
      <c r="B43" s="22"/>
      <c r="C43" s="22"/>
      <c r="D43" s="22"/>
      <c r="E43" s="22"/>
      <c r="F43" s="22"/>
      <c r="G43" s="22"/>
      <c r="H43" s="22"/>
    </row>
    <row r="44" spans="1:8" s="19" customFormat="1" ht="15.75">
      <c r="A44" s="30"/>
      <c r="B44" s="22" t="s">
        <v>185</v>
      </c>
      <c r="C44" s="22"/>
      <c r="D44" s="22"/>
      <c r="E44" s="22" t="s">
        <v>220</v>
      </c>
      <c r="F44" s="22"/>
      <c r="G44" s="22" t="s">
        <v>222</v>
      </c>
      <c r="H44" s="22"/>
    </row>
    <row r="45" spans="1:8" s="19" customFormat="1" ht="15.75">
      <c r="A45" s="30"/>
      <c r="B45" s="81" t="s">
        <v>186</v>
      </c>
      <c r="C45" s="22"/>
      <c r="D45" s="22"/>
      <c r="E45" s="96" t="s">
        <v>1</v>
      </c>
      <c r="F45" s="63"/>
      <c r="G45" s="778" t="s">
        <v>2</v>
      </c>
      <c r="H45" s="778"/>
    </row>
    <row r="46" spans="1:8" s="19" customFormat="1" ht="15.75">
      <c r="A46" s="30"/>
      <c r="B46" s="22"/>
      <c r="C46" s="22"/>
      <c r="D46" s="22"/>
      <c r="E46" s="22"/>
      <c r="F46" s="22"/>
      <c r="G46" s="22"/>
      <c r="H46" s="22"/>
    </row>
    <row r="47" spans="1:8" s="19" customFormat="1" ht="15.75">
      <c r="A47" s="30"/>
      <c r="B47" s="22"/>
      <c r="C47" s="22"/>
      <c r="D47" s="22"/>
      <c r="E47" s="22"/>
      <c r="F47" s="22"/>
      <c r="G47" s="22"/>
      <c r="H47" s="22"/>
    </row>
    <row r="48" spans="1:8" s="19" customFormat="1" ht="15.75">
      <c r="A48" s="30"/>
      <c r="B48" s="22"/>
      <c r="C48" s="22"/>
      <c r="D48" s="22"/>
      <c r="E48" s="22"/>
      <c r="F48" s="22"/>
      <c r="G48" s="22"/>
      <c r="H48" s="22"/>
    </row>
    <row r="49" spans="1:8" s="11" customFormat="1" ht="18.75">
      <c r="A49" s="27"/>
      <c r="B49" s="24"/>
      <c r="C49" s="24"/>
      <c r="D49" s="24"/>
      <c r="E49" s="24"/>
      <c r="F49" s="24"/>
      <c r="G49" s="24"/>
      <c r="H49" s="24"/>
    </row>
    <row r="50" spans="1:8" s="11" customFormat="1" ht="18.75">
      <c r="A50" s="27"/>
      <c r="B50" s="24"/>
      <c r="C50" s="24"/>
      <c r="D50" s="24"/>
      <c r="E50" s="24"/>
      <c r="F50" s="24"/>
      <c r="G50" s="24"/>
      <c r="H50" s="24"/>
    </row>
    <row r="51" s="11" customFormat="1" ht="18.75">
      <c r="A51" s="27"/>
    </row>
    <row r="52" s="11" customFormat="1" ht="18.75">
      <c r="A52" s="27"/>
    </row>
    <row r="53" s="11" customFormat="1" ht="18.75">
      <c r="A53" s="27"/>
    </row>
  </sheetData>
  <sheetProtection/>
  <mergeCells count="19">
    <mergeCell ref="B39:K39"/>
    <mergeCell ref="B11:L11"/>
    <mergeCell ref="A13:A15"/>
    <mergeCell ref="B13:B15"/>
    <mergeCell ref="C13:C15"/>
    <mergeCell ref="D13:D15"/>
    <mergeCell ref="E13:H13"/>
    <mergeCell ref="I13:I15"/>
    <mergeCell ref="J13:J15"/>
    <mergeCell ref="G42:H42"/>
    <mergeCell ref="G45:H45"/>
    <mergeCell ref="A8:L8"/>
    <mergeCell ref="B10:L10"/>
    <mergeCell ref="K13:K15"/>
    <mergeCell ref="L13:L15"/>
    <mergeCell ref="E14:E15"/>
    <mergeCell ref="F14:H14"/>
    <mergeCell ref="A37:B37"/>
    <mergeCell ref="G41:H41"/>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L42"/>
  <sheetViews>
    <sheetView zoomScale="80" zoomScaleNormal="80" zoomScalePageLayoutView="0" workbookViewId="0" topLeftCell="A13">
      <selection activeCell="C42" sqref="C42"/>
    </sheetView>
  </sheetViews>
  <sheetFormatPr defaultColWidth="8.875" defaultRowHeight="12.75"/>
  <cols>
    <col min="1" max="1" width="10.125" style="13" customWidth="1"/>
    <col min="2" max="2" width="48.125" style="13" customWidth="1"/>
    <col min="3" max="3" width="24.00390625" style="13" customWidth="1"/>
    <col min="4" max="4" width="17.25390625" style="13" customWidth="1"/>
    <col min="5" max="5" width="16.375" style="13" customWidth="1"/>
    <col min="6" max="6" width="19.875" style="13" customWidth="1"/>
    <col min="7" max="7" width="18.625" style="13" customWidth="1"/>
    <col min="8" max="8" width="19.625" style="13" customWidth="1"/>
    <col min="9" max="9" width="20.125" style="13" customWidth="1"/>
    <col min="10" max="10" width="24.25390625" style="13" customWidth="1"/>
    <col min="11" max="11" width="20.75390625" style="13" customWidth="1"/>
    <col min="12" max="16384" width="8.875" style="13" customWidth="1"/>
  </cols>
  <sheetData>
    <row r="1" spans="1:12" ht="16.5" customHeight="1">
      <c r="A1" s="11"/>
      <c r="B1" s="11"/>
      <c r="C1" s="11"/>
      <c r="D1" s="11"/>
      <c r="E1" s="11"/>
      <c r="F1" s="24" t="s">
        <v>228</v>
      </c>
      <c r="G1" s="11"/>
      <c r="H1" s="11"/>
      <c r="I1" s="11"/>
      <c r="J1" s="11"/>
      <c r="K1" s="112" t="s">
        <v>251</v>
      </c>
      <c r="L1" s="12"/>
    </row>
    <row r="2" spans="1:12" ht="18.75">
      <c r="A2" s="791" t="s">
        <v>250</v>
      </c>
      <c r="B2" s="792"/>
      <c r="C2" s="792"/>
      <c r="D2" s="792"/>
      <c r="E2" s="792"/>
      <c r="F2" s="792"/>
      <c r="G2" s="792"/>
      <c r="H2" s="792"/>
      <c r="I2" s="792"/>
      <c r="J2" s="792"/>
      <c r="K2" s="11"/>
      <c r="L2" s="12"/>
    </row>
    <row r="3" spans="1:12" ht="6.75" customHeight="1" thickBot="1">
      <c r="A3" s="16"/>
      <c r="B3" s="11"/>
      <c r="C3" s="11"/>
      <c r="D3" s="11"/>
      <c r="E3" s="11"/>
      <c r="F3" s="11"/>
      <c r="G3" s="11"/>
      <c r="H3" s="11"/>
      <c r="I3" s="11"/>
      <c r="J3" s="11"/>
      <c r="K3" s="11"/>
      <c r="L3" s="12"/>
    </row>
    <row r="4" spans="1:12" ht="31.5" customHeight="1" thickBot="1">
      <c r="A4" s="782" t="s">
        <v>194</v>
      </c>
      <c r="B4" s="801" t="s">
        <v>195</v>
      </c>
      <c r="C4" s="782" t="s">
        <v>196</v>
      </c>
      <c r="D4" s="801" t="s">
        <v>229</v>
      </c>
      <c r="E4" s="801"/>
      <c r="F4" s="801"/>
      <c r="G4" s="801"/>
      <c r="H4" s="782" t="s">
        <v>197</v>
      </c>
      <c r="I4" s="782" t="s">
        <v>198</v>
      </c>
      <c r="J4" s="782" t="s">
        <v>199</v>
      </c>
      <c r="K4" s="782" t="s">
        <v>238</v>
      </c>
      <c r="L4" s="12"/>
    </row>
    <row r="5" spans="1:12" ht="18.75" thickBot="1">
      <c r="A5" s="783"/>
      <c r="B5" s="805"/>
      <c r="C5" s="783"/>
      <c r="D5" s="796" t="s">
        <v>193</v>
      </c>
      <c r="E5" s="785" t="s">
        <v>200</v>
      </c>
      <c r="F5" s="786"/>
      <c r="G5" s="802"/>
      <c r="H5" s="783"/>
      <c r="I5" s="783"/>
      <c r="J5" s="783"/>
      <c r="K5" s="783"/>
      <c r="L5" s="12"/>
    </row>
    <row r="6" spans="1:12" ht="61.5" customHeight="1" thickBot="1">
      <c r="A6" s="784"/>
      <c r="B6" s="806"/>
      <c r="C6" s="784"/>
      <c r="D6" s="798"/>
      <c r="E6" s="83" t="s">
        <v>201</v>
      </c>
      <c r="F6" s="35" t="s">
        <v>202</v>
      </c>
      <c r="G6" s="35" t="s">
        <v>203</v>
      </c>
      <c r="H6" s="784"/>
      <c r="I6" s="784"/>
      <c r="J6" s="784"/>
      <c r="K6" s="784"/>
      <c r="L6" s="12"/>
    </row>
    <row r="7" spans="1:11" s="36" customFormat="1" ht="26.25" customHeight="1" thickBot="1">
      <c r="A7" s="35">
        <v>1</v>
      </c>
      <c r="B7" s="35">
        <v>2</v>
      </c>
      <c r="C7" s="37">
        <v>3</v>
      </c>
      <c r="D7" s="35">
        <v>4</v>
      </c>
      <c r="E7" s="83">
        <v>5</v>
      </c>
      <c r="F7" s="35">
        <v>6</v>
      </c>
      <c r="G7" s="35">
        <v>7</v>
      </c>
      <c r="H7" s="35">
        <v>8</v>
      </c>
      <c r="I7" s="35">
        <v>9</v>
      </c>
      <c r="J7" s="35" t="s">
        <v>204</v>
      </c>
      <c r="K7" s="44">
        <v>11</v>
      </c>
    </row>
    <row r="8" spans="1:11" s="36" customFormat="1" ht="26.25" customHeight="1" thickBot="1">
      <c r="A8" s="83" t="s">
        <v>231</v>
      </c>
      <c r="B8" s="83" t="s">
        <v>233</v>
      </c>
      <c r="C8" s="111"/>
      <c r="D8" s="83"/>
      <c r="E8" s="83"/>
      <c r="F8" s="83"/>
      <c r="G8" s="83"/>
      <c r="H8" s="83"/>
      <c r="I8" s="83"/>
      <c r="J8" s="83"/>
      <c r="K8" s="109"/>
    </row>
    <row r="9" spans="1:12" ht="32.25">
      <c r="A9" s="34">
        <v>1</v>
      </c>
      <c r="B9" s="39" t="s">
        <v>223</v>
      </c>
      <c r="C9" s="62"/>
      <c r="D9" s="43"/>
      <c r="E9" s="97"/>
      <c r="F9" s="43"/>
      <c r="G9" s="43"/>
      <c r="H9" s="43"/>
      <c r="I9" s="43"/>
      <c r="J9" s="97"/>
      <c r="K9" s="45"/>
      <c r="L9" s="12"/>
    </row>
    <row r="10" spans="1:12" ht="33" thickBot="1">
      <c r="A10" s="33">
        <v>2</v>
      </c>
      <c r="B10" s="40" t="s">
        <v>224</v>
      </c>
      <c r="C10" s="42"/>
      <c r="D10" s="41"/>
      <c r="E10" s="98"/>
      <c r="F10" s="41"/>
      <c r="G10" s="41"/>
      <c r="H10" s="41"/>
      <c r="I10" s="41"/>
      <c r="J10" s="98"/>
      <c r="K10" s="46"/>
      <c r="L10" s="12"/>
    </row>
    <row r="11" spans="1:12" ht="19.5" thickBot="1">
      <c r="A11" s="38">
        <v>3</v>
      </c>
      <c r="B11" s="40" t="s">
        <v>205</v>
      </c>
      <c r="C11" s="42"/>
      <c r="D11" s="41"/>
      <c r="E11" s="98"/>
      <c r="F11" s="41"/>
      <c r="G11" s="41"/>
      <c r="H11" s="41"/>
      <c r="I11" s="41"/>
      <c r="J11" s="98"/>
      <c r="K11" s="46"/>
      <c r="L11" s="12"/>
    </row>
    <row r="12" spans="1:12" s="18" customFormat="1" ht="26.25" customHeight="1" thickBot="1">
      <c r="A12" s="803" t="s">
        <v>188</v>
      </c>
      <c r="B12" s="804"/>
      <c r="C12" s="107"/>
      <c r="D12" s="95"/>
      <c r="E12" s="95"/>
      <c r="F12" s="95"/>
      <c r="G12" s="95"/>
      <c r="H12" s="95"/>
      <c r="I12" s="95"/>
      <c r="J12" s="95"/>
      <c r="K12" s="108"/>
      <c r="L12" s="17"/>
    </row>
    <row r="13" spans="1:12" ht="11.25" customHeight="1">
      <c r="A13" s="12"/>
      <c r="B13" s="82" t="s">
        <v>206</v>
      </c>
      <c r="C13" s="18"/>
      <c r="D13" s="18"/>
      <c r="E13" s="18"/>
      <c r="F13" s="18"/>
      <c r="G13" s="12"/>
      <c r="H13" s="12"/>
      <c r="I13" s="12"/>
      <c r="J13" s="12"/>
      <c r="K13" s="12"/>
      <c r="L13" s="12"/>
    </row>
    <row r="14" spans="1:11" ht="18.75">
      <c r="A14" s="11"/>
      <c r="B14" s="11"/>
      <c r="C14" s="11"/>
      <c r="D14" s="11"/>
      <c r="E14" s="11"/>
      <c r="F14" s="24"/>
      <c r="G14" s="11"/>
      <c r="H14" s="11"/>
      <c r="I14" s="11"/>
      <c r="J14" s="11"/>
      <c r="K14" s="112" t="s">
        <v>252</v>
      </c>
    </row>
    <row r="15" spans="1:11" ht="19.5" thickBot="1">
      <c r="A15" s="791" t="s">
        <v>253</v>
      </c>
      <c r="B15" s="792"/>
      <c r="C15" s="792"/>
      <c r="D15" s="792"/>
      <c r="E15" s="792"/>
      <c r="F15" s="792"/>
      <c r="G15" s="792"/>
      <c r="H15" s="792"/>
      <c r="I15" s="792"/>
      <c r="J15" s="792"/>
      <c r="K15" s="11"/>
    </row>
    <row r="16" spans="1:11" ht="16.5" thickBot="1">
      <c r="A16" s="782" t="s">
        <v>194</v>
      </c>
      <c r="B16" s="801" t="s">
        <v>195</v>
      </c>
      <c r="C16" s="782" t="s">
        <v>196</v>
      </c>
      <c r="D16" s="801" t="s">
        <v>229</v>
      </c>
      <c r="E16" s="801"/>
      <c r="F16" s="801"/>
      <c r="G16" s="801"/>
      <c r="H16" s="782" t="s">
        <v>197</v>
      </c>
      <c r="I16" s="782" t="s">
        <v>198</v>
      </c>
      <c r="J16" s="782" t="s">
        <v>199</v>
      </c>
      <c r="K16" s="782" t="s">
        <v>238</v>
      </c>
    </row>
    <row r="17" spans="1:11" ht="16.5" thickBot="1">
      <c r="A17" s="783"/>
      <c r="B17" s="805"/>
      <c r="C17" s="783"/>
      <c r="D17" s="796" t="s">
        <v>193</v>
      </c>
      <c r="E17" s="785" t="s">
        <v>200</v>
      </c>
      <c r="F17" s="786"/>
      <c r="G17" s="802"/>
      <c r="H17" s="783"/>
      <c r="I17" s="783"/>
      <c r="J17" s="783"/>
      <c r="K17" s="783"/>
    </row>
    <row r="18" spans="1:11" s="19" customFormat="1" ht="48" thickBot="1">
      <c r="A18" s="784"/>
      <c r="B18" s="806"/>
      <c r="C18" s="784"/>
      <c r="D18" s="798"/>
      <c r="E18" s="83" t="s">
        <v>201</v>
      </c>
      <c r="F18" s="35" t="s">
        <v>202</v>
      </c>
      <c r="G18" s="35" t="s">
        <v>203</v>
      </c>
      <c r="H18" s="784"/>
      <c r="I18" s="784"/>
      <c r="J18" s="784"/>
      <c r="K18" s="784"/>
    </row>
    <row r="19" spans="1:11" s="19" customFormat="1" ht="32.25" thickBot="1">
      <c r="A19" s="35">
        <v>1</v>
      </c>
      <c r="B19" s="35">
        <v>2</v>
      </c>
      <c r="C19" s="37">
        <v>3</v>
      </c>
      <c r="D19" s="35">
        <v>4</v>
      </c>
      <c r="E19" s="83">
        <v>5</v>
      </c>
      <c r="F19" s="35">
        <v>6</v>
      </c>
      <c r="G19" s="35">
        <v>7</v>
      </c>
      <c r="H19" s="35">
        <v>8</v>
      </c>
      <c r="I19" s="35">
        <v>9</v>
      </c>
      <c r="J19" s="35" t="s">
        <v>204</v>
      </c>
      <c r="K19" s="44">
        <v>11</v>
      </c>
    </row>
    <row r="20" spans="1:11" s="19" customFormat="1" ht="16.5" thickBot="1">
      <c r="A20" s="83" t="s">
        <v>231</v>
      </c>
      <c r="B20" s="83" t="s">
        <v>233</v>
      </c>
      <c r="C20" s="111"/>
      <c r="D20" s="83"/>
      <c r="E20" s="83"/>
      <c r="F20" s="83"/>
      <c r="G20" s="83"/>
      <c r="H20" s="83"/>
      <c r="I20" s="83"/>
      <c r="J20" s="83"/>
      <c r="K20" s="109"/>
    </row>
    <row r="21" spans="1:11" s="19" customFormat="1" ht="32.25">
      <c r="A21" s="34">
        <v>1</v>
      </c>
      <c r="B21" s="39" t="s">
        <v>223</v>
      </c>
      <c r="C21" s="62"/>
      <c r="D21" s="43"/>
      <c r="E21" s="97"/>
      <c r="F21" s="43"/>
      <c r="G21" s="43"/>
      <c r="H21" s="43"/>
      <c r="I21" s="43"/>
      <c r="J21" s="97"/>
      <c r="K21" s="45"/>
    </row>
    <row r="22" spans="1:11" s="19" customFormat="1" ht="33" thickBot="1">
      <c r="A22" s="33">
        <v>2</v>
      </c>
      <c r="B22" s="40" t="s">
        <v>224</v>
      </c>
      <c r="C22" s="42"/>
      <c r="D22" s="41"/>
      <c r="E22" s="98"/>
      <c r="F22" s="41"/>
      <c r="G22" s="41"/>
      <c r="H22" s="41"/>
      <c r="I22" s="41"/>
      <c r="J22" s="98"/>
      <c r="K22" s="46"/>
    </row>
    <row r="23" spans="1:11" s="19" customFormat="1" ht="19.5" thickBot="1">
      <c r="A23" s="38">
        <v>3</v>
      </c>
      <c r="B23" s="40" t="s">
        <v>205</v>
      </c>
      <c r="C23" s="42"/>
      <c r="D23" s="41"/>
      <c r="E23" s="98"/>
      <c r="F23" s="41"/>
      <c r="G23" s="41"/>
      <c r="H23" s="41"/>
      <c r="I23" s="41"/>
      <c r="J23" s="98"/>
      <c r="K23" s="46"/>
    </row>
    <row r="24" spans="1:11" ht="19.5" thickBot="1">
      <c r="A24" s="803" t="s">
        <v>188</v>
      </c>
      <c r="B24" s="804"/>
      <c r="C24" s="107"/>
      <c r="D24" s="95"/>
      <c r="E24" s="95"/>
      <c r="F24" s="95"/>
      <c r="G24" s="95"/>
      <c r="H24" s="95"/>
      <c r="I24" s="95"/>
      <c r="J24" s="95"/>
      <c r="K24" s="108"/>
    </row>
    <row r="25" spans="1:11" ht="18">
      <c r="A25" s="12"/>
      <c r="B25" s="82" t="s">
        <v>206</v>
      </c>
      <c r="C25" s="18"/>
      <c r="D25" s="18"/>
      <c r="E25" s="18"/>
      <c r="F25" s="18"/>
      <c r="G25" s="12"/>
      <c r="H25" s="12"/>
      <c r="I25" s="12"/>
      <c r="J25" s="12"/>
      <c r="K25" s="12"/>
    </row>
    <row r="26" spans="1:11" ht="18.75">
      <c r="A26" s="11"/>
      <c r="B26" s="11"/>
      <c r="C26" s="11"/>
      <c r="D26" s="11"/>
      <c r="E26" s="11"/>
      <c r="F26" s="24"/>
      <c r="G26" s="11"/>
      <c r="H26" s="11"/>
      <c r="I26" s="11"/>
      <c r="J26" s="11"/>
      <c r="K26" s="112" t="s">
        <v>254</v>
      </c>
    </row>
    <row r="27" spans="1:11" ht="19.5" thickBot="1">
      <c r="A27" s="791" t="s">
        <v>253</v>
      </c>
      <c r="B27" s="792"/>
      <c r="C27" s="792"/>
      <c r="D27" s="792"/>
      <c r="E27" s="792"/>
      <c r="F27" s="792"/>
      <c r="G27" s="792"/>
      <c r="H27" s="792"/>
      <c r="I27" s="792"/>
      <c r="J27" s="792"/>
      <c r="K27" s="11"/>
    </row>
    <row r="28" spans="1:11" ht="16.5" thickBot="1">
      <c r="A28" s="782" t="s">
        <v>194</v>
      </c>
      <c r="B28" s="801" t="s">
        <v>195</v>
      </c>
      <c r="C28" s="782" t="s">
        <v>196</v>
      </c>
      <c r="D28" s="801" t="s">
        <v>229</v>
      </c>
      <c r="E28" s="801"/>
      <c r="F28" s="801"/>
      <c r="G28" s="801"/>
      <c r="H28" s="782" t="s">
        <v>197</v>
      </c>
      <c r="I28" s="782" t="s">
        <v>198</v>
      </c>
      <c r="J28" s="782" t="s">
        <v>199</v>
      </c>
      <c r="K28" s="782" t="s">
        <v>238</v>
      </c>
    </row>
    <row r="29" spans="1:11" ht="16.5" thickBot="1">
      <c r="A29" s="783"/>
      <c r="B29" s="805"/>
      <c r="C29" s="783"/>
      <c r="D29" s="796" t="s">
        <v>193</v>
      </c>
      <c r="E29" s="785" t="s">
        <v>200</v>
      </c>
      <c r="F29" s="786"/>
      <c r="G29" s="802"/>
      <c r="H29" s="783"/>
      <c r="I29" s="783"/>
      <c r="J29" s="783"/>
      <c r="K29" s="783"/>
    </row>
    <row r="30" spans="1:11" ht="48" thickBot="1">
      <c r="A30" s="784"/>
      <c r="B30" s="806"/>
      <c r="C30" s="784"/>
      <c r="D30" s="798"/>
      <c r="E30" s="83" t="s">
        <v>201</v>
      </c>
      <c r="F30" s="35" t="s">
        <v>202</v>
      </c>
      <c r="G30" s="35" t="s">
        <v>203</v>
      </c>
      <c r="H30" s="784"/>
      <c r="I30" s="784"/>
      <c r="J30" s="784"/>
      <c r="K30" s="784"/>
    </row>
    <row r="31" spans="1:11" ht="32.25" thickBot="1">
      <c r="A31" s="35">
        <v>1</v>
      </c>
      <c r="B31" s="35">
        <v>2</v>
      </c>
      <c r="C31" s="37">
        <v>3</v>
      </c>
      <c r="D31" s="35">
        <v>4</v>
      </c>
      <c r="E31" s="83">
        <v>5</v>
      </c>
      <c r="F31" s="35">
        <v>6</v>
      </c>
      <c r="G31" s="35">
        <v>7</v>
      </c>
      <c r="H31" s="35">
        <v>8</v>
      </c>
      <c r="I31" s="35">
        <v>9</v>
      </c>
      <c r="J31" s="35" t="s">
        <v>204</v>
      </c>
      <c r="K31" s="44">
        <v>11</v>
      </c>
    </row>
    <row r="32" spans="1:11" ht="16.5" thickBot="1">
      <c r="A32" s="83" t="s">
        <v>231</v>
      </c>
      <c r="B32" s="83" t="s">
        <v>233</v>
      </c>
      <c r="C32" s="111"/>
      <c r="D32" s="83"/>
      <c r="E32" s="83"/>
      <c r="F32" s="83"/>
      <c r="G32" s="83"/>
      <c r="H32" s="83"/>
      <c r="I32" s="83"/>
      <c r="J32" s="83"/>
      <c r="K32" s="109"/>
    </row>
    <row r="33" spans="1:11" ht="32.25">
      <c r="A33" s="34">
        <v>1</v>
      </c>
      <c r="B33" s="39" t="s">
        <v>223</v>
      </c>
      <c r="C33" s="62"/>
      <c r="D33" s="43"/>
      <c r="E33" s="97"/>
      <c r="F33" s="43"/>
      <c r="G33" s="43"/>
      <c r="H33" s="43"/>
      <c r="I33" s="43"/>
      <c r="J33" s="97"/>
      <c r="K33" s="45"/>
    </row>
    <row r="34" spans="1:11" ht="33" thickBot="1">
      <c r="A34" s="33">
        <v>2</v>
      </c>
      <c r="B34" s="40" t="s">
        <v>224</v>
      </c>
      <c r="C34" s="42"/>
      <c r="D34" s="41"/>
      <c r="E34" s="98"/>
      <c r="F34" s="41"/>
      <c r="G34" s="41"/>
      <c r="H34" s="41"/>
      <c r="I34" s="41"/>
      <c r="J34" s="98"/>
      <c r="K34" s="46"/>
    </row>
    <row r="35" spans="1:11" ht="19.5" thickBot="1">
      <c r="A35" s="38">
        <v>3</v>
      </c>
      <c r="B35" s="40" t="s">
        <v>205</v>
      </c>
      <c r="C35" s="42"/>
      <c r="D35" s="41"/>
      <c r="E35" s="98"/>
      <c r="F35" s="41"/>
      <c r="G35" s="41"/>
      <c r="H35" s="41"/>
      <c r="I35" s="41"/>
      <c r="J35" s="98"/>
      <c r="K35" s="46"/>
    </row>
    <row r="36" spans="1:11" ht="19.5" thickBot="1">
      <c r="A36" s="803" t="s">
        <v>188</v>
      </c>
      <c r="B36" s="804"/>
      <c r="C36" s="107"/>
      <c r="D36" s="95"/>
      <c r="E36" s="95"/>
      <c r="F36" s="95"/>
      <c r="G36" s="95"/>
      <c r="H36" s="95"/>
      <c r="I36" s="95"/>
      <c r="J36" s="95"/>
      <c r="K36" s="108"/>
    </row>
    <row r="37" spans="1:11" ht="18.75">
      <c r="A37" s="113"/>
      <c r="B37" s="113"/>
      <c r="C37" s="114"/>
      <c r="D37" s="114"/>
      <c r="E37" s="114"/>
      <c r="F37" s="114"/>
      <c r="G37" s="114"/>
      <c r="H37" s="114"/>
      <c r="I37" s="114"/>
      <c r="J37" s="114"/>
      <c r="K37" s="115"/>
    </row>
    <row r="38" spans="1:11" ht="18.75">
      <c r="A38" s="113"/>
      <c r="B38" s="113"/>
      <c r="C38" s="114"/>
      <c r="D38" s="114"/>
      <c r="E38" s="114"/>
      <c r="F38" s="114"/>
      <c r="G38" s="114"/>
      <c r="H38" s="114"/>
      <c r="I38" s="114"/>
      <c r="J38" s="114"/>
      <c r="K38" s="115"/>
    </row>
    <row r="39" spans="2:8" ht="15.75">
      <c r="B39" s="22" t="s">
        <v>207</v>
      </c>
      <c r="C39" s="22"/>
      <c r="D39" s="22"/>
      <c r="E39" s="22" t="s">
        <v>220</v>
      </c>
      <c r="F39" s="22"/>
      <c r="G39" s="777" t="s">
        <v>221</v>
      </c>
      <c r="H39" s="777"/>
    </row>
    <row r="40" spans="2:8" ht="15.75">
      <c r="B40" s="22" t="s">
        <v>186</v>
      </c>
      <c r="C40" s="22"/>
      <c r="D40" s="22"/>
      <c r="E40" s="96" t="s">
        <v>1</v>
      </c>
      <c r="F40" s="63"/>
      <c r="G40" s="778" t="s">
        <v>2</v>
      </c>
      <c r="H40" s="778"/>
    </row>
    <row r="41" spans="2:8" ht="15.75">
      <c r="B41" s="22" t="s">
        <v>185</v>
      </c>
      <c r="C41" s="22"/>
      <c r="D41" s="22"/>
      <c r="E41" s="22" t="s">
        <v>220</v>
      </c>
      <c r="F41" s="22"/>
      <c r="G41" s="22" t="s">
        <v>222</v>
      </c>
      <c r="H41" s="22"/>
    </row>
    <row r="42" spans="2:8" ht="15.75">
      <c r="B42" s="81" t="s">
        <v>186</v>
      </c>
      <c r="C42" s="22"/>
      <c r="D42" s="22"/>
      <c r="E42" s="96" t="s">
        <v>1</v>
      </c>
      <c r="F42" s="63"/>
      <c r="G42" s="778" t="s">
        <v>2</v>
      </c>
      <c r="H42" s="778"/>
    </row>
  </sheetData>
  <sheetProtection/>
  <mergeCells count="39">
    <mergeCell ref="A2:J2"/>
    <mergeCell ref="A4:A6"/>
    <mergeCell ref="B4:B6"/>
    <mergeCell ref="C4:C6"/>
    <mergeCell ref="D4:G4"/>
    <mergeCell ref="H4:H6"/>
    <mergeCell ref="I4:I6"/>
    <mergeCell ref="J4:J6"/>
    <mergeCell ref="K4:K6"/>
    <mergeCell ref="A15:J15"/>
    <mergeCell ref="A16:A18"/>
    <mergeCell ref="B16:B18"/>
    <mergeCell ref="C16:C18"/>
    <mergeCell ref="D5:D6"/>
    <mergeCell ref="E5:G5"/>
    <mergeCell ref="A12:B12"/>
    <mergeCell ref="D16:G16"/>
    <mergeCell ref="H16:H18"/>
    <mergeCell ref="I16:I18"/>
    <mergeCell ref="J16:J18"/>
    <mergeCell ref="K16:K18"/>
    <mergeCell ref="D17:D18"/>
    <mergeCell ref="E17:G17"/>
    <mergeCell ref="A24:B24"/>
    <mergeCell ref="A27:J27"/>
    <mergeCell ref="A28:A30"/>
    <mergeCell ref="B28:B30"/>
    <mergeCell ref="C28:C30"/>
    <mergeCell ref="D28:G28"/>
    <mergeCell ref="H28:H30"/>
    <mergeCell ref="I28:I30"/>
    <mergeCell ref="J28:J30"/>
    <mergeCell ref="G42:H42"/>
    <mergeCell ref="K28:K30"/>
    <mergeCell ref="D29:D30"/>
    <mergeCell ref="E29:G29"/>
    <mergeCell ref="A36:B36"/>
    <mergeCell ref="G39:H39"/>
    <mergeCell ref="G40:H40"/>
  </mergeCells>
  <printOptions/>
  <pageMargins left="0.1968503937007874" right="0.1968503937007874" top="0.1968503937007874" bottom="0.1968503937007874" header="0.5118110236220472" footer="0.5118110236220472"/>
  <pageSetup fitToHeight="2"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I135"/>
  <sheetViews>
    <sheetView zoomScale="136" zoomScaleNormal="136" zoomScalePageLayoutView="0" workbookViewId="0" topLeftCell="A89">
      <selection activeCell="C20" sqref="C20"/>
    </sheetView>
  </sheetViews>
  <sheetFormatPr defaultColWidth="1.37890625" defaultRowHeight="12.75"/>
  <cols>
    <col min="1" max="1" width="69.625" style="119" customWidth="1"/>
    <col min="2" max="2" width="9.625" style="157" customWidth="1"/>
    <col min="3" max="3" width="13.00390625" style="157" customWidth="1"/>
    <col min="4" max="4" width="11.00390625" style="119" customWidth="1"/>
    <col min="5" max="5" width="14.375" style="157" customWidth="1"/>
    <col min="6" max="6" width="14.00390625" style="119" customWidth="1"/>
    <col min="7" max="7" width="14.25390625" style="119" customWidth="1"/>
    <col min="8" max="8" width="13.125" style="157" customWidth="1"/>
    <col min="9" max="9" width="15.25390625" style="119" customWidth="1"/>
    <col min="10" max="10" width="22.75390625" style="119" customWidth="1"/>
    <col min="11" max="16384" width="1.37890625" style="119" customWidth="1"/>
  </cols>
  <sheetData>
    <row r="2" spans="1:8" ht="12.75">
      <c r="A2" s="155" t="s">
        <v>371</v>
      </c>
      <c r="B2" s="478"/>
      <c r="C2" s="478"/>
      <c r="D2" s="568"/>
      <c r="E2" s="507"/>
      <c r="F2" s="478"/>
      <c r="G2" s="478"/>
      <c r="H2" s="478"/>
    </row>
    <row r="3" spans="1:8" ht="12.75">
      <c r="A3" s="155" t="s">
        <v>372</v>
      </c>
      <c r="B3" s="478"/>
      <c r="C3" s="478"/>
      <c r="D3" s="478"/>
      <c r="E3" s="507"/>
      <c r="F3" s="478"/>
      <c r="G3" s="478"/>
      <c r="H3" s="478"/>
    </row>
    <row r="4" spans="1:8" ht="12.75">
      <c r="A4" s="155" t="s">
        <v>373</v>
      </c>
      <c r="B4" s="478"/>
      <c r="C4" s="478"/>
      <c r="D4" s="478"/>
      <c r="E4" s="507"/>
      <c r="F4" s="478"/>
      <c r="G4" s="478"/>
      <c r="H4" s="478"/>
    </row>
    <row r="5" spans="1:8" ht="12.75">
      <c r="A5" s="155" t="s">
        <v>374</v>
      </c>
      <c r="B5" s="478"/>
      <c r="C5" s="478"/>
      <c r="D5" s="478"/>
      <c r="E5" s="507"/>
      <c r="F5" s="478"/>
      <c r="G5" s="478"/>
      <c r="H5" s="478"/>
    </row>
    <row r="6" spans="1:8" ht="12.75">
      <c r="A6" s="155" t="s">
        <v>375</v>
      </c>
      <c r="B6" s="478"/>
      <c r="C6" s="478"/>
      <c r="D6" s="478"/>
      <c r="E6" s="507"/>
      <c r="F6" s="478"/>
      <c r="G6" s="478"/>
      <c r="H6" s="478"/>
    </row>
    <row r="7" spans="1:8" ht="12.75">
      <c r="A7" s="155" t="s">
        <v>376</v>
      </c>
      <c r="B7" s="478"/>
      <c r="C7" s="478"/>
      <c r="D7" s="478"/>
      <c r="E7" s="507"/>
      <c r="F7" s="478"/>
      <c r="G7" s="478"/>
      <c r="H7" s="478"/>
    </row>
    <row r="8" spans="1:8" ht="12.75">
      <c r="A8" s="155" t="s">
        <v>377</v>
      </c>
      <c r="B8" s="478"/>
      <c r="C8" s="478"/>
      <c r="D8" s="478"/>
      <c r="E8" s="507"/>
      <c r="F8" s="478"/>
      <c r="G8" s="478"/>
      <c r="H8" s="478"/>
    </row>
    <row r="10" spans="1:8" ht="12.75">
      <c r="A10" s="622" t="s">
        <v>3</v>
      </c>
      <c r="B10" s="622"/>
      <c r="C10" s="622"/>
      <c r="D10" s="622"/>
      <c r="E10" s="622"/>
      <c r="F10" s="622"/>
      <c r="G10" s="622"/>
      <c r="H10" s="622"/>
    </row>
    <row r="11" ht="4.5" customHeight="1"/>
    <row r="12" spans="1:8" s="131" customFormat="1" ht="12" customHeight="1">
      <c r="A12" s="651" t="s">
        <v>15</v>
      </c>
      <c r="B12" s="651" t="s">
        <v>184</v>
      </c>
      <c r="C12" s="651" t="s">
        <v>310</v>
      </c>
      <c r="D12" s="651" t="s">
        <v>311</v>
      </c>
      <c r="E12" s="657" t="s">
        <v>4</v>
      </c>
      <c r="F12" s="657"/>
      <c r="G12" s="657"/>
      <c r="H12" s="657"/>
    </row>
    <row r="13" spans="1:8" s="131" customFormat="1" ht="27" customHeight="1">
      <c r="A13" s="651"/>
      <c r="B13" s="651"/>
      <c r="C13" s="655"/>
      <c r="D13" s="651"/>
      <c r="E13" s="508" t="s">
        <v>312</v>
      </c>
      <c r="F13" s="508" t="s">
        <v>360</v>
      </c>
      <c r="G13" s="508" t="s">
        <v>361</v>
      </c>
      <c r="H13" s="508" t="s">
        <v>13</v>
      </c>
    </row>
    <row r="14" spans="1:8" s="131" customFormat="1" ht="11.25" customHeight="1">
      <c r="A14" s="651"/>
      <c r="B14" s="651"/>
      <c r="C14" s="655"/>
      <c r="D14" s="651"/>
      <c r="E14" s="509" t="s">
        <v>5</v>
      </c>
      <c r="F14" s="509" t="s">
        <v>9</v>
      </c>
      <c r="G14" s="509" t="s">
        <v>12</v>
      </c>
      <c r="H14" s="509" t="s">
        <v>14</v>
      </c>
    </row>
    <row r="15" spans="1:8" s="131" customFormat="1" ht="8.25" customHeight="1">
      <c r="A15" s="651"/>
      <c r="B15" s="651"/>
      <c r="C15" s="655"/>
      <c r="D15" s="651"/>
      <c r="E15" s="509" t="s">
        <v>6</v>
      </c>
      <c r="F15" s="509" t="s">
        <v>8</v>
      </c>
      <c r="G15" s="509" t="s">
        <v>8</v>
      </c>
      <c r="H15" s="509" t="s">
        <v>10</v>
      </c>
    </row>
    <row r="16" spans="1:8" s="131" customFormat="1" ht="10.5" customHeight="1">
      <c r="A16" s="651"/>
      <c r="B16" s="651"/>
      <c r="C16" s="655"/>
      <c r="D16" s="651"/>
      <c r="E16" s="509" t="s">
        <v>7</v>
      </c>
      <c r="F16" s="509" t="s">
        <v>10</v>
      </c>
      <c r="G16" s="509" t="s">
        <v>10</v>
      </c>
      <c r="H16" s="509" t="s">
        <v>11</v>
      </c>
    </row>
    <row r="17" spans="1:8" s="131" customFormat="1" ht="18.75" customHeight="1">
      <c r="A17" s="651"/>
      <c r="B17" s="651"/>
      <c r="C17" s="655"/>
      <c r="D17" s="651"/>
      <c r="E17" s="510" t="s">
        <v>8</v>
      </c>
      <c r="F17" s="510" t="s">
        <v>11</v>
      </c>
      <c r="G17" s="510" t="s">
        <v>11</v>
      </c>
      <c r="H17" s="510"/>
    </row>
    <row r="18" spans="1:8" s="131" customFormat="1" ht="12" customHeight="1">
      <c r="A18" s="447">
        <v>1</v>
      </c>
      <c r="B18" s="180">
        <v>2</v>
      </c>
      <c r="C18" s="180">
        <v>3</v>
      </c>
      <c r="D18" s="180">
        <v>4</v>
      </c>
      <c r="E18" s="180">
        <v>5</v>
      </c>
      <c r="F18" s="180">
        <v>6</v>
      </c>
      <c r="G18" s="180">
        <v>7</v>
      </c>
      <c r="H18" s="180">
        <v>8</v>
      </c>
    </row>
    <row r="19" spans="1:9" ht="13.5" customHeight="1">
      <c r="A19" s="448" t="s">
        <v>313</v>
      </c>
      <c r="B19" s="449" t="s">
        <v>18</v>
      </c>
      <c r="C19" s="449" t="s">
        <v>23</v>
      </c>
      <c r="D19" s="441" t="s">
        <v>23</v>
      </c>
      <c r="E19" s="503">
        <v>27644008.11</v>
      </c>
      <c r="F19" s="450"/>
      <c r="G19" s="450"/>
      <c r="H19" s="451"/>
      <c r="I19" s="442"/>
    </row>
    <row r="20" spans="1:9" ht="13.5" customHeight="1">
      <c r="A20" s="448" t="s">
        <v>314</v>
      </c>
      <c r="B20" s="449" t="s">
        <v>19</v>
      </c>
      <c r="C20" s="449" t="s">
        <v>23</v>
      </c>
      <c r="D20" s="441" t="s">
        <v>23</v>
      </c>
      <c r="E20" s="451" t="s">
        <v>23</v>
      </c>
      <c r="F20" s="452" t="s">
        <v>23</v>
      </c>
      <c r="G20" s="452" t="s">
        <v>23</v>
      </c>
      <c r="H20" s="451"/>
      <c r="I20" s="442"/>
    </row>
    <row r="21" spans="1:9" ht="13.5" customHeight="1">
      <c r="A21" s="453" t="s">
        <v>16</v>
      </c>
      <c r="B21" s="454" t="s">
        <v>20</v>
      </c>
      <c r="C21" s="454"/>
      <c r="D21" s="455"/>
      <c r="E21" s="444">
        <f>E22+E24+E31+E33+E34+E38+E42+E41+E46</f>
        <v>342008818.87</v>
      </c>
      <c r="F21" s="443">
        <f>F24+F22</f>
        <v>459709586.76</v>
      </c>
      <c r="G21" s="443">
        <f>G24+G22</f>
        <v>459709586.76</v>
      </c>
      <c r="H21" s="456"/>
      <c r="I21" s="442"/>
    </row>
    <row r="22" spans="1:9" ht="12.75">
      <c r="A22" s="448" t="s">
        <v>315</v>
      </c>
      <c r="B22" s="449" t="s">
        <v>21</v>
      </c>
      <c r="C22" s="449" t="s">
        <v>22</v>
      </c>
      <c r="D22" s="441" t="s">
        <v>981</v>
      </c>
      <c r="E22" s="570">
        <f>E23</f>
        <v>170000</v>
      </c>
      <c r="F22" s="473">
        <f>F23+F27+F28+F31+F33+F41+F46</f>
        <v>1122600</v>
      </c>
      <c r="G22" s="473">
        <f>G23+G27+G28+G31+G33+G41+G46</f>
        <v>1122600</v>
      </c>
      <c r="H22" s="451"/>
      <c r="I22" s="442"/>
    </row>
    <row r="23" spans="1:8" ht="12.75">
      <c r="A23" s="448" t="s">
        <v>1006</v>
      </c>
      <c r="B23" s="449" t="s">
        <v>24</v>
      </c>
      <c r="C23" s="449" t="s">
        <v>22</v>
      </c>
      <c r="D23" s="441" t="s">
        <v>981</v>
      </c>
      <c r="E23" s="504">
        <f>'Прилож 2'!J22</f>
        <v>170000</v>
      </c>
      <c r="F23" s="504">
        <v>170000</v>
      </c>
      <c r="G23" s="504">
        <v>170000</v>
      </c>
      <c r="H23" s="451"/>
    </row>
    <row r="24" spans="1:9" ht="12.75">
      <c r="A24" s="448" t="s">
        <v>26</v>
      </c>
      <c r="B24" s="449" t="s">
        <v>183</v>
      </c>
      <c r="C24" s="449" t="s">
        <v>25</v>
      </c>
      <c r="D24" s="441"/>
      <c r="E24" s="569">
        <f>E26+E27+E29</f>
        <v>340342201.05</v>
      </c>
      <c r="F24" s="504">
        <f>F27+F28+F29</f>
        <v>458586986.76</v>
      </c>
      <c r="G24" s="504">
        <f>G27+G28+G29</f>
        <v>458586986.76</v>
      </c>
      <c r="H24" s="451"/>
      <c r="I24" s="442"/>
    </row>
    <row r="25" spans="1:8" ht="24">
      <c r="A25" s="457" t="s">
        <v>378</v>
      </c>
      <c r="B25" s="449" t="s">
        <v>27</v>
      </c>
      <c r="C25" s="449" t="s">
        <v>25</v>
      </c>
      <c r="D25" s="441"/>
      <c r="E25" s="444"/>
      <c r="F25" s="444"/>
      <c r="G25" s="444"/>
      <c r="H25" s="451"/>
    </row>
    <row r="26" spans="1:8" ht="24">
      <c r="A26" s="457" t="s">
        <v>316</v>
      </c>
      <c r="B26" s="449" t="s">
        <v>28</v>
      </c>
      <c r="C26" s="449" t="s">
        <v>25</v>
      </c>
      <c r="D26" s="441" t="s">
        <v>991</v>
      </c>
      <c r="E26" s="444">
        <f>'Прилож 2'!G21</f>
        <v>2458130</v>
      </c>
      <c r="F26" s="479"/>
      <c r="H26" s="451"/>
    </row>
    <row r="27" spans="1:8" ht="12.75">
      <c r="A27" s="448" t="s">
        <v>235</v>
      </c>
      <c r="B27" s="449" t="s">
        <v>296</v>
      </c>
      <c r="C27" s="449" t="s">
        <v>25</v>
      </c>
      <c r="D27" s="441" t="s">
        <v>62</v>
      </c>
      <c r="E27" s="536">
        <f>'Прилож 2'!J27</f>
        <v>1025571.05</v>
      </c>
      <c r="F27" s="504">
        <v>600000</v>
      </c>
      <c r="G27" s="504">
        <v>600000</v>
      </c>
      <c r="H27" s="451"/>
    </row>
    <row r="28" spans="1:8" ht="12.75">
      <c r="A28" s="458" t="s">
        <v>1005</v>
      </c>
      <c r="B28" s="449" t="s">
        <v>296</v>
      </c>
      <c r="C28" s="449" t="s">
        <v>25</v>
      </c>
      <c r="D28" s="441" t="s">
        <v>63</v>
      </c>
      <c r="E28" s="536">
        <f>'Прилож 2'!J24</f>
        <v>0</v>
      </c>
      <c r="F28" s="504">
        <v>10000</v>
      </c>
      <c r="G28" s="504">
        <v>10000</v>
      </c>
      <c r="H28" s="451"/>
    </row>
    <row r="29" spans="1:8" ht="24">
      <c r="A29" s="457" t="s">
        <v>317</v>
      </c>
      <c r="B29" s="449" t="s">
        <v>297</v>
      </c>
      <c r="C29" s="449" t="s">
        <v>25</v>
      </c>
      <c r="D29" s="441" t="s">
        <v>62</v>
      </c>
      <c r="E29" s="504">
        <f>'Прилож 2'!I21</f>
        <v>336858500</v>
      </c>
      <c r="F29" s="444">
        <f>458586986.76-600000-10000</f>
        <v>457976986.76</v>
      </c>
      <c r="G29" s="444">
        <v>457976986.76</v>
      </c>
      <c r="H29" s="451"/>
    </row>
    <row r="30" spans="1:8" ht="24">
      <c r="A30" s="457" t="s">
        <v>318</v>
      </c>
      <c r="B30" s="449" t="s">
        <v>298</v>
      </c>
      <c r="C30" s="449" t="s">
        <v>25</v>
      </c>
      <c r="D30" s="441"/>
      <c r="E30" s="504"/>
      <c r="F30" s="443"/>
      <c r="G30" s="443"/>
      <c r="H30" s="451"/>
    </row>
    <row r="31" spans="1:8" ht="12.75">
      <c r="A31" s="448" t="s">
        <v>29</v>
      </c>
      <c r="B31" s="449" t="s">
        <v>30</v>
      </c>
      <c r="C31" s="449" t="s">
        <v>31</v>
      </c>
      <c r="D31" s="441" t="s">
        <v>982</v>
      </c>
      <c r="E31" s="569">
        <f>'Прилож 2'!J33</f>
        <v>85000</v>
      </c>
      <c r="F31" s="443">
        <v>45000</v>
      </c>
      <c r="G31" s="443">
        <v>45000</v>
      </c>
      <c r="H31" s="451"/>
    </row>
    <row r="32" spans="1:9" ht="12.75">
      <c r="A32" s="458" t="s">
        <v>17</v>
      </c>
      <c r="B32" s="449" t="s">
        <v>32</v>
      </c>
      <c r="C32" s="449" t="s">
        <v>31</v>
      </c>
      <c r="D32" s="441"/>
      <c r="E32" s="504"/>
      <c r="F32" s="443"/>
      <c r="G32" s="443"/>
      <c r="H32" s="451"/>
      <c r="I32" s="442"/>
    </row>
    <row r="33" spans="1:8" ht="13.5" customHeight="1">
      <c r="A33" s="448" t="s">
        <v>33</v>
      </c>
      <c r="B33" s="449" t="s">
        <v>34</v>
      </c>
      <c r="C33" s="449" t="s">
        <v>35</v>
      </c>
      <c r="D33" s="441" t="s">
        <v>988</v>
      </c>
      <c r="E33" s="569">
        <f>'Прилож 2'!J38+'Прилож 2'!J34</f>
        <v>270000</v>
      </c>
      <c r="F33" s="504">
        <v>270000</v>
      </c>
      <c r="G33" s="504">
        <v>270000</v>
      </c>
      <c r="H33" s="451"/>
    </row>
    <row r="34" spans="1:8" ht="13.5" customHeight="1">
      <c r="A34" s="448" t="s">
        <v>379</v>
      </c>
      <c r="B34" s="449" t="s">
        <v>280</v>
      </c>
      <c r="C34" s="449" t="s">
        <v>35</v>
      </c>
      <c r="D34" s="459"/>
      <c r="E34" s="569">
        <f>E35+E36</f>
        <v>1078917.82</v>
      </c>
      <c r="F34" s="443"/>
      <c r="G34" s="443"/>
      <c r="H34" s="451"/>
    </row>
    <row r="35" spans="1:8" ht="13.5" customHeight="1">
      <c r="A35" s="448" t="s">
        <v>1015</v>
      </c>
      <c r="B35" s="449" t="s">
        <v>280</v>
      </c>
      <c r="C35" s="449" t="s">
        <v>35</v>
      </c>
      <c r="D35" s="449" t="s">
        <v>1016</v>
      </c>
      <c r="E35" s="599">
        <f>'Прилож 2'!H36</f>
        <v>1078917.82</v>
      </c>
      <c r="F35" s="443"/>
      <c r="G35" s="443"/>
      <c r="H35" s="451"/>
    </row>
    <row r="36" spans="1:8" ht="12" customHeight="1">
      <c r="A36" s="460" t="s">
        <v>39</v>
      </c>
      <c r="B36" s="461">
        <v>1420</v>
      </c>
      <c r="C36" s="461">
        <v>150</v>
      </c>
      <c r="D36" s="462"/>
      <c r="E36" s="445">
        <f>'Прилож 2'!H37</f>
        <v>0</v>
      </c>
      <c r="F36" s="463"/>
      <c r="G36" s="463"/>
      <c r="H36" s="464"/>
    </row>
    <row r="37" spans="1:9" ht="26.25" customHeight="1">
      <c r="A37" s="465" t="s">
        <v>302</v>
      </c>
      <c r="B37" s="461">
        <v>1430</v>
      </c>
      <c r="C37" s="461">
        <v>150</v>
      </c>
      <c r="D37" s="462"/>
      <c r="E37" s="445"/>
      <c r="F37" s="463"/>
      <c r="G37" s="463"/>
      <c r="H37" s="464"/>
      <c r="I37" s="442"/>
    </row>
    <row r="38" spans="1:8" ht="15" customHeight="1">
      <c r="A38" s="465" t="s">
        <v>1010</v>
      </c>
      <c r="B38" s="461" t="str">
        <f>B39</f>
        <v>1500</v>
      </c>
      <c r="C38" s="461" t="str">
        <f>C39</f>
        <v>180</v>
      </c>
      <c r="D38" s="441" t="s">
        <v>987</v>
      </c>
      <c r="E38" s="571">
        <f>'Прилож 2'!J39</f>
        <v>100</v>
      </c>
      <c r="F38" s="463"/>
      <c r="G38" s="463"/>
      <c r="H38" s="464"/>
    </row>
    <row r="39" spans="1:8" ht="13.5" customHeight="1">
      <c r="A39" s="448" t="s">
        <v>36</v>
      </c>
      <c r="B39" s="449" t="s">
        <v>37</v>
      </c>
      <c r="C39" s="449" t="s">
        <v>38</v>
      </c>
      <c r="D39" s="441"/>
      <c r="E39" s="504"/>
      <c r="F39" s="443"/>
      <c r="G39" s="443"/>
      <c r="H39" s="451"/>
    </row>
    <row r="40" spans="1:8" ht="12.75">
      <c r="A40" s="466" t="s">
        <v>17</v>
      </c>
      <c r="B40" s="449"/>
      <c r="C40" s="449"/>
      <c r="D40" s="459"/>
      <c r="E40" s="504"/>
      <c r="F40" s="443"/>
      <c r="G40" s="443"/>
      <c r="H40" s="451"/>
    </row>
    <row r="41" spans="1:8" ht="12.75">
      <c r="A41" s="448" t="s">
        <v>319</v>
      </c>
      <c r="B41" s="449" t="s">
        <v>40</v>
      </c>
      <c r="C41" s="449" t="s">
        <v>113</v>
      </c>
      <c r="D41" s="441" t="s">
        <v>1115</v>
      </c>
      <c r="E41" s="567">
        <f>'Прилож 2'!F44</f>
        <v>55000</v>
      </c>
      <c r="F41" s="443">
        <v>20000</v>
      </c>
      <c r="G41" s="443">
        <v>20000</v>
      </c>
      <c r="H41" s="451"/>
    </row>
    <row r="42" spans="1:8" ht="12.75">
      <c r="A42" s="448" t="s">
        <v>17</v>
      </c>
      <c r="B42" s="449"/>
      <c r="C42" s="449"/>
      <c r="D42" s="441"/>
      <c r="E42" s="444"/>
      <c r="F42" s="443"/>
      <c r="G42" s="443"/>
      <c r="H42" s="451"/>
    </row>
    <row r="43" spans="1:8" ht="12.75">
      <c r="A43" s="448" t="s">
        <v>303</v>
      </c>
      <c r="B43" s="449" t="s">
        <v>299</v>
      </c>
      <c r="C43" s="449" t="s">
        <v>300</v>
      </c>
      <c r="D43" s="441"/>
      <c r="E43" s="444"/>
      <c r="F43" s="443"/>
      <c r="G43" s="443"/>
      <c r="H43" s="451"/>
    </row>
    <row r="44" spans="1:8" ht="12.75">
      <c r="A44" s="448" t="s">
        <v>17</v>
      </c>
      <c r="B44" s="449"/>
      <c r="C44" s="449"/>
      <c r="D44" s="441"/>
      <c r="E44" s="444"/>
      <c r="F44" s="443"/>
      <c r="G44" s="443"/>
      <c r="H44" s="451"/>
    </row>
    <row r="45" spans="1:8" ht="13.5">
      <c r="A45" s="448" t="s">
        <v>320</v>
      </c>
      <c r="B45" s="449" t="s">
        <v>41</v>
      </c>
      <c r="C45" s="449" t="s">
        <v>23</v>
      </c>
      <c r="D45" s="441"/>
      <c r="E45" s="444"/>
      <c r="F45" s="443"/>
      <c r="G45" s="443"/>
      <c r="H45" s="451"/>
    </row>
    <row r="46" spans="1:8" ht="24.75" customHeight="1">
      <c r="A46" s="466" t="s">
        <v>321</v>
      </c>
      <c r="B46" s="449" t="s">
        <v>42</v>
      </c>
      <c r="C46" s="449" t="s">
        <v>43</v>
      </c>
      <c r="D46" s="441"/>
      <c r="E46" s="569">
        <f>'Прилож 2'!J45</f>
        <v>7600</v>
      </c>
      <c r="F46" s="504">
        <v>7600</v>
      </c>
      <c r="G46" s="504">
        <v>7600</v>
      </c>
      <c r="H46" s="451" t="s">
        <v>23</v>
      </c>
    </row>
    <row r="47" spans="1:9" ht="13.5" customHeight="1">
      <c r="A47" s="453" t="s">
        <v>44</v>
      </c>
      <c r="B47" s="454" t="s">
        <v>45</v>
      </c>
      <c r="C47" s="454" t="s">
        <v>23</v>
      </c>
      <c r="D47" s="455"/>
      <c r="E47" s="444">
        <f>E48+E68+E79+E81</f>
        <v>369652826.98</v>
      </c>
      <c r="F47" s="444">
        <f>F48+F68+F80+F81</f>
        <v>487282187.87</v>
      </c>
      <c r="G47" s="444">
        <f>G48+G68+G80+G81</f>
        <v>487270888.87</v>
      </c>
      <c r="H47" s="456"/>
      <c r="I47" s="442"/>
    </row>
    <row r="48" spans="1:9" ht="12.75">
      <c r="A48" s="448" t="s">
        <v>322</v>
      </c>
      <c r="B48" s="449" t="s">
        <v>46</v>
      </c>
      <c r="C48" s="449" t="s">
        <v>23</v>
      </c>
      <c r="D48" s="441"/>
      <c r="E48" s="504">
        <f>E49+E50+E53+E55</f>
        <v>275408885.8</v>
      </c>
      <c r="F48" s="444">
        <f>F49+F50+F52+F53+F55</f>
        <v>380779318</v>
      </c>
      <c r="G48" s="444">
        <f aca="true" t="shared" si="0" ref="G48:G55">F48</f>
        <v>380779318</v>
      </c>
      <c r="H48" s="451" t="s">
        <v>23</v>
      </c>
      <c r="I48" s="442"/>
    </row>
    <row r="49" spans="1:8" ht="12.75">
      <c r="A49" s="448" t="s">
        <v>323</v>
      </c>
      <c r="B49" s="449" t="s">
        <v>47</v>
      </c>
      <c r="C49" s="449" t="s">
        <v>48</v>
      </c>
      <c r="D49" s="441" t="s">
        <v>990</v>
      </c>
      <c r="E49" s="504">
        <f>'Прилож 2'!F48+'Прилож 2'!F49+'Прилож 2'!F108+'Прилож 2'!H49</f>
        <v>211261294.72</v>
      </c>
      <c r="F49" s="444">
        <f>197000+2244488+312512+288230180+1300000</f>
        <v>292284180</v>
      </c>
      <c r="G49" s="444">
        <f t="shared" si="0"/>
        <v>292284180</v>
      </c>
      <c r="H49" s="451" t="s">
        <v>23</v>
      </c>
    </row>
    <row r="50" spans="1:8" ht="12.75">
      <c r="A50" s="448" t="s">
        <v>49</v>
      </c>
      <c r="B50" s="449" t="s">
        <v>50</v>
      </c>
      <c r="C50" s="449" t="s">
        <v>53</v>
      </c>
      <c r="D50" s="441" t="s">
        <v>989</v>
      </c>
      <c r="E50" s="504">
        <f>'Прилож 2'!F51+'Прилож 2'!F102+'Прилож 2'!H50+'Прилож 2'!H103</f>
        <v>643848</v>
      </c>
      <c r="F50" s="444">
        <v>520000</v>
      </c>
      <c r="G50" s="444">
        <f t="shared" si="0"/>
        <v>520000</v>
      </c>
      <c r="H50" s="451" t="s">
        <v>23</v>
      </c>
    </row>
    <row r="51" spans="1:8" ht="26.25" customHeight="1">
      <c r="A51" s="466" t="s">
        <v>324</v>
      </c>
      <c r="B51" s="449" t="s">
        <v>51</v>
      </c>
      <c r="C51" s="449" t="s">
        <v>54</v>
      </c>
      <c r="D51" s="441"/>
      <c r="E51" s="504"/>
      <c r="F51" s="444"/>
      <c r="G51" s="444"/>
      <c r="H51" s="451" t="s">
        <v>23</v>
      </c>
    </row>
    <row r="52" spans="1:8" ht="24">
      <c r="A52" s="466" t="s">
        <v>325</v>
      </c>
      <c r="B52" s="449" t="s">
        <v>52</v>
      </c>
      <c r="C52" s="449" t="s">
        <v>55</v>
      </c>
      <c r="D52" s="441" t="s">
        <v>983</v>
      </c>
      <c r="E52" s="504">
        <f>E53+E55</f>
        <v>63503743.08</v>
      </c>
      <c r="F52" s="504">
        <f>57198+678051.38+94378.62+87045510</f>
        <v>87875138</v>
      </c>
      <c r="G52" s="504">
        <f t="shared" si="0"/>
        <v>87875138</v>
      </c>
      <c r="H52" s="451" t="s">
        <v>23</v>
      </c>
    </row>
    <row r="53" spans="1:8" ht="12.75">
      <c r="A53" s="448" t="s">
        <v>17</v>
      </c>
      <c r="B53" s="652" t="s">
        <v>57</v>
      </c>
      <c r="C53" s="652" t="s">
        <v>55</v>
      </c>
      <c r="D53" s="628" t="s">
        <v>983</v>
      </c>
      <c r="E53" s="658">
        <f>'Прилож 2'!F52+'Прилож 2'!F53+'Прилож 2'!H53</f>
        <v>63398107.08</v>
      </c>
      <c r="F53" s="649">
        <v>20000</v>
      </c>
      <c r="G53" s="649">
        <f t="shared" si="0"/>
        <v>20000</v>
      </c>
      <c r="H53" s="650" t="s">
        <v>23</v>
      </c>
    </row>
    <row r="54" spans="1:8" ht="12.75">
      <c r="A54" s="448" t="s">
        <v>56</v>
      </c>
      <c r="B54" s="652"/>
      <c r="C54" s="652"/>
      <c r="D54" s="628"/>
      <c r="E54" s="658"/>
      <c r="F54" s="649"/>
      <c r="G54" s="649"/>
      <c r="H54" s="650"/>
    </row>
    <row r="55" spans="1:8" ht="13.5" customHeight="1">
      <c r="A55" s="448" t="s">
        <v>58</v>
      </c>
      <c r="B55" s="449" t="s">
        <v>59</v>
      </c>
      <c r="C55" s="449" t="s">
        <v>55</v>
      </c>
      <c r="D55" s="441" t="s">
        <v>1117</v>
      </c>
      <c r="E55" s="504">
        <f>'Прилож 2'!F107+'Прилож 2'!F109</f>
        <v>105636</v>
      </c>
      <c r="F55" s="444">
        <v>80000</v>
      </c>
      <c r="G55" s="444">
        <f t="shared" si="0"/>
        <v>80000</v>
      </c>
      <c r="H55" s="451" t="s">
        <v>23</v>
      </c>
    </row>
    <row r="56" spans="1:8" ht="12.75">
      <c r="A56" s="448" t="s">
        <v>326</v>
      </c>
      <c r="B56" s="449" t="s">
        <v>60</v>
      </c>
      <c r="C56" s="449" t="s">
        <v>62</v>
      </c>
      <c r="D56" s="441"/>
      <c r="E56" s="504"/>
      <c r="F56" s="443"/>
      <c r="G56" s="443"/>
      <c r="H56" s="451" t="s">
        <v>23</v>
      </c>
    </row>
    <row r="57" spans="1:8" ht="24">
      <c r="A57" s="466" t="s">
        <v>309</v>
      </c>
      <c r="B57" s="449" t="s">
        <v>61</v>
      </c>
      <c r="C57" s="449" t="s">
        <v>282</v>
      </c>
      <c r="D57" s="441"/>
      <c r="E57" s="444"/>
      <c r="F57" s="443"/>
      <c r="G57" s="443"/>
      <c r="H57" s="451"/>
    </row>
    <row r="58" spans="1:8" ht="12.75">
      <c r="A58" s="448" t="s">
        <v>327</v>
      </c>
      <c r="B58" s="449" t="s">
        <v>64</v>
      </c>
      <c r="C58" s="449" t="s">
        <v>63</v>
      </c>
      <c r="D58" s="441"/>
      <c r="E58" s="444"/>
      <c r="F58" s="443"/>
      <c r="G58" s="443"/>
      <c r="H58" s="451" t="s">
        <v>23</v>
      </c>
    </row>
    <row r="59" spans="1:8" ht="24">
      <c r="A59" s="466" t="s">
        <v>328</v>
      </c>
      <c r="B59" s="449" t="s">
        <v>294</v>
      </c>
      <c r="C59" s="449" t="s">
        <v>65</v>
      </c>
      <c r="D59" s="441"/>
      <c r="E59" s="444"/>
      <c r="F59" s="443"/>
      <c r="G59" s="443"/>
      <c r="H59" s="451" t="s">
        <v>23</v>
      </c>
    </row>
    <row r="60" spans="1:8" ht="13.5" customHeight="1">
      <c r="A60" s="448" t="s">
        <v>329</v>
      </c>
      <c r="B60" s="449" t="s">
        <v>304</v>
      </c>
      <c r="C60" s="449" t="s">
        <v>65</v>
      </c>
      <c r="D60" s="441"/>
      <c r="E60" s="444"/>
      <c r="F60" s="443"/>
      <c r="G60" s="443"/>
      <c r="H60" s="451" t="s">
        <v>23</v>
      </c>
    </row>
    <row r="61" spans="1:8" ht="12.75">
      <c r="A61" s="448" t="s">
        <v>68</v>
      </c>
      <c r="B61" s="449" t="s">
        <v>305</v>
      </c>
      <c r="C61" s="449" t="s">
        <v>65</v>
      </c>
      <c r="D61" s="441"/>
      <c r="E61" s="444"/>
      <c r="F61" s="443"/>
      <c r="G61" s="443"/>
      <c r="H61" s="451" t="s">
        <v>23</v>
      </c>
    </row>
    <row r="62" spans="1:8" ht="12.75">
      <c r="A62" s="448" t="s">
        <v>69</v>
      </c>
      <c r="B62" s="449" t="s">
        <v>66</v>
      </c>
      <c r="C62" s="449" t="s">
        <v>67</v>
      </c>
      <c r="D62" s="441"/>
      <c r="E62" s="444"/>
      <c r="F62" s="443"/>
      <c r="G62" s="443"/>
      <c r="H62" s="451" t="s">
        <v>23</v>
      </c>
    </row>
    <row r="63" spans="1:8" ht="23.25" customHeight="1">
      <c r="A63" s="466" t="s">
        <v>330</v>
      </c>
      <c r="B63" s="449" t="s">
        <v>70</v>
      </c>
      <c r="C63" s="449" t="s">
        <v>71</v>
      </c>
      <c r="D63" s="441"/>
      <c r="E63" s="444"/>
      <c r="F63" s="443"/>
      <c r="G63" s="443"/>
      <c r="H63" s="451" t="s">
        <v>23</v>
      </c>
    </row>
    <row r="64" spans="1:8" ht="24">
      <c r="A64" s="466" t="s">
        <v>331</v>
      </c>
      <c r="B64" s="449" t="s">
        <v>73</v>
      </c>
      <c r="C64" s="449" t="s">
        <v>72</v>
      </c>
      <c r="D64" s="441"/>
      <c r="E64" s="444"/>
      <c r="F64" s="443"/>
      <c r="G64" s="443"/>
      <c r="H64" s="451" t="s">
        <v>23</v>
      </c>
    </row>
    <row r="65" spans="1:8" ht="24">
      <c r="A65" s="466" t="s">
        <v>332</v>
      </c>
      <c r="B65" s="449" t="s">
        <v>74</v>
      </c>
      <c r="C65" s="449" t="s">
        <v>79</v>
      </c>
      <c r="D65" s="441"/>
      <c r="E65" s="444"/>
      <c r="F65" s="443"/>
      <c r="G65" s="443"/>
      <c r="H65" s="451" t="s">
        <v>23</v>
      </c>
    </row>
    <row r="66" spans="1:8" ht="38.25" customHeight="1">
      <c r="A66" s="466" t="s">
        <v>333</v>
      </c>
      <c r="B66" s="449" t="s">
        <v>75</v>
      </c>
      <c r="C66" s="449" t="s">
        <v>77</v>
      </c>
      <c r="D66" s="441"/>
      <c r="E66" s="444"/>
      <c r="F66" s="443"/>
      <c r="G66" s="443"/>
      <c r="H66" s="451" t="s">
        <v>23</v>
      </c>
    </row>
    <row r="67" spans="1:8" ht="12.75">
      <c r="A67" s="448" t="s">
        <v>283</v>
      </c>
      <c r="B67" s="449" t="s">
        <v>76</v>
      </c>
      <c r="C67" s="449" t="s">
        <v>78</v>
      </c>
      <c r="D67" s="459"/>
      <c r="E67" s="444"/>
      <c r="F67" s="443"/>
      <c r="G67" s="443"/>
      <c r="H67" s="451" t="s">
        <v>23</v>
      </c>
    </row>
    <row r="68" spans="1:8" ht="12.75">
      <c r="A68" s="448" t="s">
        <v>88</v>
      </c>
      <c r="B68" s="449" t="s">
        <v>80</v>
      </c>
      <c r="C68" s="449" t="s">
        <v>81</v>
      </c>
      <c r="D68" s="441"/>
      <c r="E68" s="503">
        <f>E69+E70+E71</f>
        <v>1446646.0000000002</v>
      </c>
      <c r="F68" s="470">
        <v>1355039</v>
      </c>
      <c r="G68" s="470">
        <v>1343740</v>
      </c>
      <c r="H68" s="451" t="s">
        <v>23</v>
      </c>
    </row>
    <row r="69" spans="1:8" ht="12.75">
      <c r="A69" s="448" t="s">
        <v>334</v>
      </c>
      <c r="B69" s="449" t="s">
        <v>82</v>
      </c>
      <c r="C69" s="449" t="s">
        <v>83</v>
      </c>
      <c r="D69" s="441">
        <v>291</v>
      </c>
      <c r="E69" s="503">
        <f>'Прилож 2'!I71+'Прилож 2'!G71</f>
        <v>1242810.0000000002</v>
      </c>
      <c r="F69" s="471">
        <v>1156203</v>
      </c>
      <c r="G69" s="471">
        <v>1144904</v>
      </c>
      <c r="H69" s="451" t="s">
        <v>23</v>
      </c>
    </row>
    <row r="70" spans="1:8" ht="24">
      <c r="A70" s="466" t="s">
        <v>335</v>
      </c>
      <c r="B70" s="449" t="s">
        <v>84</v>
      </c>
      <c r="C70" s="449" t="s">
        <v>85</v>
      </c>
      <c r="D70" s="441" t="s">
        <v>984</v>
      </c>
      <c r="E70" s="503">
        <f>'Прилож 6'!E44+'Прилож 6'!E45+'Прилож 6'!E46+'Прилож 6'!E62</f>
        <v>43836</v>
      </c>
      <c r="F70" s="471">
        <v>43836</v>
      </c>
      <c r="G70" s="471">
        <v>43836</v>
      </c>
      <c r="H70" s="451" t="s">
        <v>23</v>
      </c>
    </row>
    <row r="71" spans="1:8" ht="25.5">
      <c r="A71" s="448" t="s">
        <v>89</v>
      </c>
      <c r="B71" s="449" t="s">
        <v>87</v>
      </c>
      <c r="C71" s="449" t="s">
        <v>86</v>
      </c>
      <c r="D71" s="472" t="s">
        <v>985</v>
      </c>
      <c r="E71" s="503">
        <f>'Прилож 6'!E47+'Прилож 6'!E63</f>
        <v>160000</v>
      </c>
      <c r="F71" s="471">
        <v>155000</v>
      </c>
      <c r="G71" s="471">
        <v>155000</v>
      </c>
      <c r="H71" s="451" t="s">
        <v>23</v>
      </c>
    </row>
    <row r="72" spans="1:8" ht="12.75">
      <c r="A72" s="448" t="s">
        <v>97</v>
      </c>
      <c r="B72" s="449" t="s">
        <v>90</v>
      </c>
      <c r="C72" s="449" t="s">
        <v>23</v>
      </c>
      <c r="D72" s="441"/>
      <c r="E72" s="444"/>
      <c r="F72" s="443"/>
      <c r="G72" s="443"/>
      <c r="H72" s="451" t="s">
        <v>23</v>
      </c>
    </row>
    <row r="73" spans="1:8" ht="12.75">
      <c r="A73" s="448" t="s">
        <v>380</v>
      </c>
      <c r="B73" s="449" t="s">
        <v>91</v>
      </c>
      <c r="C73" s="449" t="s">
        <v>306</v>
      </c>
      <c r="D73" s="459"/>
      <c r="E73" s="444"/>
      <c r="F73" s="443"/>
      <c r="G73" s="443"/>
      <c r="H73" s="451"/>
    </row>
    <row r="74" spans="1:8" ht="12.75">
      <c r="A74" s="448" t="s">
        <v>284</v>
      </c>
      <c r="B74" s="449" t="s">
        <v>94</v>
      </c>
      <c r="C74" s="449" t="s">
        <v>307</v>
      </c>
      <c r="D74" s="441"/>
      <c r="E74" s="444"/>
      <c r="F74" s="443"/>
      <c r="G74" s="443"/>
      <c r="H74" s="451" t="s">
        <v>23</v>
      </c>
    </row>
    <row r="75" spans="1:8" ht="24" customHeight="1">
      <c r="A75" s="466" t="s">
        <v>336</v>
      </c>
      <c r="B75" s="449" t="s">
        <v>95</v>
      </c>
      <c r="C75" s="449" t="s">
        <v>308</v>
      </c>
      <c r="D75" s="459"/>
      <c r="E75" s="444"/>
      <c r="F75" s="443"/>
      <c r="G75" s="443"/>
      <c r="H75" s="451" t="s">
        <v>23</v>
      </c>
    </row>
    <row r="76" spans="1:8" ht="13.5" customHeight="1">
      <c r="A76" s="448" t="s">
        <v>98</v>
      </c>
      <c r="B76" s="449" t="s">
        <v>285</v>
      </c>
      <c r="C76" s="449" t="s">
        <v>92</v>
      </c>
      <c r="D76" s="459"/>
      <c r="E76" s="444"/>
      <c r="F76" s="443"/>
      <c r="G76" s="443"/>
      <c r="H76" s="451"/>
    </row>
    <row r="77" spans="1:8" ht="12.75">
      <c r="A77" s="448" t="s">
        <v>99</v>
      </c>
      <c r="B77" s="449" t="s">
        <v>286</v>
      </c>
      <c r="C77" s="449" t="s">
        <v>93</v>
      </c>
      <c r="D77" s="459"/>
      <c r="E77" s="444"/>
      <c r="F77" s="443"/>
      <c r="G77" s="443"/>
      <c r="H77" s="451"/>
    </row>
    <row r="78" spans="1:8" ht="24">
      <c r="A78" s="466" t="s">
        <v>337</v>
      </c>
      <c r="B78" s="449" t="s">
        <v>287</v>
      </c>
      <c r="C78" s="449" t="s">
        <v>96</v>
      </c>
      <c r="D78" s="459"/>
      <c r="E78" s="444"/>
      <c r="F78" s="443"/>
      <c r="G78" s="443"/>
      <c r="H78" s="451"/>
    </row>
    <row r="79" spans="1:8" ht="12.75">
      <c r="A79" s="448" t="s">
        <v>103</v>
      </c>
      <c r="B79" s="449" t="s">
        <v>100</v>
      </c>
      <c r="C79" s="449" t="s">
        <v>23</v>
      </c>
      <c r="D79" s="441"/>
      <c r="E79" s="444">
        <f>E80</f>
        <v>10000</v>
      </c>
      <c r="F79" s="443"/>
      <c r="G79" s="443"/>
      <c r="H79" s="451" t="s">
        <v>23</v>
      </c>
    </row>
    <row r="80" spans="1:8" ht="24">
      <c r="A80" s="466" t="s">
        <v>338</v>
      </c>
      <c r="B80" s="449" t="s">
        <v>101</v>
      </c>
      <c r="C80" s="449" t="s">
        <v>102</v>
      </c>
      <c r="D80" s="441" t="s">
        <v>986</v>
      </c>
      <c r="E80" s="444">
        <v>10000</v>
      </c>
      <c r="F80" s="443">
        <v>10000</v>
      </c>
      <c r="G80" s="443">
        <v>10000</v>
      </c>
      <c r="H80" s="451" t="s">
        <v>23</v>
      </c>
    </row>
    <row r="81" spans="1:8" ht="14.25">
      <c r="A81" s="453" t="s">
        <v>241</v>
      </c>
      <c r="B81" s="454" t="s">
        <v>104</v>
      </c>
      <c r="C81" s="454" t="s">
        <v>23</v>
      </c>
      <c r="D81" s="455"/>
      <c r="E81" s="473">
        <f>E84+E86</f>
        <v>92787295.18</v>
      </c>
      <c r="F81" s="473">
        <f>F84+F86</f>
        <v>105137830.87</v>
      </c>
      <c r="G81" s="473">
        <f>G84+G86</f>
        <v>105137830.87</v>
      </c>
      <c r="H81" s="456"/>
    </row>
    <row r="82" spans="1:8" ht="12.75">
      <c r="A82" s="448" t="s">
        <v>339</v>
      </c>
      <c r="B82" s="449" t="s">
        <v>105</v>
      </c>
      <c r="C82" s="449" t="s">
        <v>106</v>
      </c>
      <c r="D82" s="441"/>
      <c r="E82" s="444"/>
      <c r="F82" s="443"/>
      <c r="G82" s="443"/>
      <c r="H82" s="451"/>
    </row>
    <row r="83" spans="1:8" ht="12.75">
      <c r="A83" s="466" t="s">
        <v>382</v>
      </c>
      <c r="B83" s="449" t="s">
        <v>108</v>
      </c>
      <c r="C83" s="449" t="s">
        <v>109</v>
      </c>
      <c r="D83" s="441"/>
      <c r="E83" s="444"/>
      <c r="F83" s="443"/>
      <c r="G83" s="443"/>
      <c r="H83" s="451"/>
    </row>
    <row r="84" spans="1:8" ht="12.75">
      <c r="A84" s="448" t="s">
        <v>381</v>
      </c>
      <c r="B84" s="449" t="s">
        <v>110</v>
      </c>
      <c r="C84" s="449" t="s">
        <v>111</v>
      </c>
      <c r="D84" s="441"/>
      <c r="E84" s="444">
        <f>'Прилож 2'!F92+'Прилож 2'!F94+'Прилож 2'!F95+'Прилож 2'!F98+'Прилож 2'!F99+'Прилож 2'!F100+'Прилож 2'!F101+'Прилож 2'!F104+'Прилож 2'!F111+'Прилож 2'!F113+'Прилож 2'!F114+'Прилож 2'!F115++'Прилож 2'!F116+'Прилож 2'!F117+'Прилож 2'!F118+'Прилож 2'!F119+'Прилож 2'!F120+'Прилож 2'!F121+'Прилож 2'!F122</f>
        <v>86489294.98</v>
      </c>
      <c r="F84" s="444">
        <v>98855830.67</v>
      </c>
      <c r="G84" s="444">
        <v>98855830.67</v>
      </c>
      <c r="H84" s="443"/>
    </row>
    <row r="85" spans="1:8" ht="24">
      <c r="A85" s="166" t="s">
        <v>383</v>
      </c>
      <c r="B85" s="449" t="s">
        <v>112</v>
      </c>
      <c r="C85" s="449" t="s">
        <v>384</v>
      </c>
      <c r="D85" s="441"/>
      <c r="E85" s="444"/>
      <c r="F85" s="443"/>
      <c r="G85" s="443"/>
      <c r="H85" s="451"/>
    </row>
    <row r="86" spans="1:8" ht="12.75" customHeight="1">
      <c r="A86" s="448" t="s">
        <v>385</v>
      </c>
      <c r="B86" s="449" t="s">
        <v>386</v>
      </c>
      <c r="C86" s="449" t="s">
        <v>301</v>
      </c>
      <c r="D86" s="441"/>
      <c r="E86" s="444">
        <f>'Прилож 2'!F96+'Прилож 2'!F97</f>
        <v>6298000.2</v>
      </c>
      <c r="F86" s="444">
        <v>6282000.2</v>
      </c>
      <c r="G86" s="444">
        <v>6282000.2</v>
      </c>
      <c r="H86" s="451"/>
    </row>
    <row r="87" spans="1:8" ht="18" customHeight="1">
      <c r="A87" s="466" t="s">
        <v>387</v>
      </c>
      <c r="B87" s="449" t="s">
        <v>388</v>
      </c>
      <c r="C87" s="449" t="s">
        <v>113</v>
      </c>
      <c r="D87" s="459"/>
      <c r="E87" s="444"/>
      <c r="F87" s="443"/>
      <c r="G87" s="443"/>
      <c r="H87" s="511"/>
    </row>
    <row r="88" spans="1:8" ht="18" customHeight="1">
      <c r="A88" s="466" t="s">
        <v>389</v>
      </c>
      <c r="B88" s="449" t="s">
        <v>390</v>
      </c>
      <c r="C88" s="449" t="s">
        <v>114</v>
      </c>
      <c r="D88" s="441"/>
      <c r="E88" s="444"/>
      <c r="F88" s="443"/>
      <c r="G88" s="443"/>
      <c r="H88" s="451"/>
    </row>
    <row r="89" spans="1:8" ht="19.5" customHeight="1">
      <c r="A89" s="458" t="s">
        <v>391</v>
      </c>
      <c r="B89" s="449" t="s">
        <v>392</v>
      </c>
      <c r="C89" s="449" t="s">
        <v>115</v>
      </c>
      <c r="D89" s="467"/>
      <c r="E89" s="468"/>
      <c r="F89" s="469"/>
      <c r="G89" s="469"/>
      <c r="H89" s="512"/>
    </row>
    <row r="90" spans="1:8" ht="14.25">
      <c r="A90" s="453" t="s">
        <v>239</v>
      </c>
      <c r="B90" s="454" t="s">
        <v>116</v>
      </c>
      <c r="C90" s="449" t="s">
        <v>117</v>
      </c>
      <c r="D90" s="441" t="s">
        <v>987</v>
      </c>
      <c r="E90" s="444">
        <v>-69500</v>
      </c>
      <c r="F90" s="443">
        <v>-69500</v>
      </c>
      <c r="G90" s="443">
        <v>-69500</v>
      </c>
      <c r="H90" s="456" t="s">
        <v>23</v>
      </c>
    </row>
    <row r="91" spans="1:8" ht="12.75">
      <c r="A91" s="448" t="s">
        <v>340</v>
      </c>
      <c r="B91" s="449" t="s">
        <v>118</v>
      </c>
      <c r="C91" s="449" t="s">
        <v>38</v>
      </c>
      <c r="D91" s="441" t="s">
        <v>987</v>
      </c>
      <c r="E91" s="444">
        <v>-65500</v>
      </c>
      <c r="F91" s="443">
        <v>-65500</v>
      </c>
      <c r="G91" s="443">
        <v>-69500</v>
      </c>
      <c r="H91" s="451" t="s">
        <v>23</v>
      </c>
    </row>
    <row r="92" spans="1:8" ht="13.5" customHeight="1">
      <c r="A92" s="448" t="s">
        <v>341</v>
      </c>
      <c r="B92" s="449" t="s">
        <v>119</v>
      </c>
      <c r="C92" s="449" t="s">
        <v>38</v>
      </c>
      <c r="D92" s="441" t="s">
        <v>987</v>
      </c>
      <c r="E92" s="444"/>
      <c r="F92" s="443"/>
      <c r="G92" s="443"/>
      <c r="H92" s="451" t="s">
        <v>23</v>
      </c>
    </row>
    <row r="93" spans="1:8" ht="13.5" customHeight="1">
      <c r="A93" s="448" t="s">
        <v>342</v>
      </c>
      <c r="B93" s="449" t="s">
        <v>120</v>
      </c>
      <c r="C93" s="449" t="s">
        <v>38</v>
      </c>
      <c r="D93" s="441"/>
      <c r="E93" s="444"/>
      <c r="F93" s="443"/>
      <c r="G93" s="443"/>
      <c r="H93" s="451" t="s">
        <v>23</v>
      </c>
    </row>
    <row r="94" spans="1:8" ht="14.25">
      <c r="A94" s="453" t="s">
        <v>240</v>
      </c>
      <c r="B94" s="449" t="s">
        <v>121</v>
      </c>
      <c r="C94" s="449" t="s">
        <v>23</v>
      </c>
      <c r="D94" s="441"/>
      <c r="E94" s="444"/>
      <c r="F94" s="443"/>
      <c r="G94" s="443"/>
      <c r="H94" s="451" t="s">
        <v>23</v>
      </c>
    </row>
    <row r="95" spans="1:8" ht="12.75">
      <c r="A95" s="466" t="s">
        <v>343</v>
      </c>
      <c r="B95" s="449" t="s">
        <v>122</v>
      </c>
      <c r="C95" s="449" t="s">
        <v>123</v>
      </c>
      <c r="D95" s="441"/>
      <c r="E95" s="444"/>
      <c r="F95" s="443"/>
      <c r="G95" s="443"/>
      <c r="H95" s="451" t="s">
        <v>23</v>
      </c>
    </row>
    <row r="96" spans="1:8" ht="27.75" customHeight="1">
      <c r="A96" s="119" t="s">
        <v>1128</v>
      </c>
      <c r="B96" s="478"/>
      <c r="C96" s="513"/>
      <c r="D96" s="171"/>
      <c r="E96" s="507"/>
      <c r="F96" s="171" t="s">
        <v>1121</v>
      </c>
      <c r="G96" s="171"/>
      <c r="H96" s="513"/>
    </row>
    <row r="97" spans="1:8" ht="12.75">
      <c r="A97" s="156" t="s">
        <v>394</v>
      </c>
      <c r="B97" s="478"/>
      <c r="C97" s="618" t="s">
        <v>1</v>
      </c>
      <c r="D97" s="618"/>
      <c r="E97" s="507"/>
      <c r="F97" s="656" t="s">
        <v>393</v>
      </c>
      <c r="G97" s="656"/>
      <c r="H97" s="656"/>
    </row>
    <row r="99" spans="1:8" ht="13.5" customHeight="1">
      <c r="A99" s="119" t="s">
        <v>1002</v>
      </c>
      <c r="B99" s="478"/>
      <c r="C99" s="513"/>
      <c r="D99" s="171"/>
      <c r="E99" s="514"/>
      <c r="F99" s="171" t="s">
        <v>1003</v>
      </c>
      <c r="G99" s="171"/>
      <c r="H99" s="513"/>
    </row>
    <row r="100" spans="1:8" ht="13.5" customHeight="1">
      <c r="A100" s="157" t="s">
        <v>403</v>
      </c>
      <c r="B100" s="157" t="s">
        <v>402</v>
      </c>
      <c r="C100" s="653" t="s">
        <v>1</v>
      </c>
      <c r="D100" s="653"/>
      <c r="E100" s="514"/>
      <c r="F100" s="654" t="s">
        <v>393</v>
      </c>
      <c r="G100" s="654"/>
      <c r="H100" s="654"/>
    </row>
    <row r="101" spans="1:8" ht="13.5" customHeight="1">
      <c r="A101" s="478"/>
      <c r="B101" s="478"/>
      <c r="C101" s="478"/>
      <c r="D101" s="478"/>
      <c r="E101" s="507"/>
      <c r="F101" s="478"/>
      <c r="G101" s="478"/>
      <c r="H101" s="478"/>
    </row>
    <row r="102" spans="1:8" ht="12.75">
      <c r="A102" s="478"/>
      <c r="B102" s="478"/>
      <c r="C102" s="478"/>
      <c r="D102" s="478"/>
      <c r="E102" s="507"/>
      <c r="F102" s="171" t="s">
        <v>1004</v>
      </c>
      <c r="G102" s="171"/>
      <c r="H102" s="513"/>
    </row>
    <row r="103" spans="1:8" ht="12.75">
      <c r="A103" s="478"/>
      <c r="B103" s="478"/>
      <c r="C103" s="478"/>
      <c r="D103" s="478"/>
      <c r="E103" s="507"/>
      <c r="F103" s="119" t="s">
        <v>404</v>
      </c>
      <c r="G103" s="478"/>
      <c r="H103" s="478"/>
    </row>
    <row r="104" spans="1:8" ht="13.5" customHeight="1">
      <c r="A104" s="478"/>
      <c r="B104" s="478"/>
      <c r="C104" s="478"/>
      <c r="D104" s="478"/>
      <c r="E104" s="507"/>
      <c r="F104" s="478"/>
      <c r="G104" s="478"/>
      <c r="H104" s="478"/>
    </row>
    <row r="105" spans="1:8" s="144" customFormat="1" ht="12" customHeight="1" hidden="1">
      <c r="A105" s="119"/>
      <c r="B105" s="157"/>
      <c r="C105" s="157"/>
      <c r="D105" s="119"/>
      <c r="E105" s="157"/>
      <c r="F105" s="119"/>
      <c r="G105" s="119"/>
      <c r="H105" s="157"/>
    </row>
    <row r="106" spans="1:8" s="144" customFormat="1" ht="12" customHeight="1" hidden="1">
      <c r="A106" s="119"/>
      <c r="B106" s="157"/>
      <c r="C106" s="157"/>
      <c r="D106" s="119"/>
      <c r="E106" s="157"/>
      <c r="F106" s="119"/>
      <c r="G106" s="119"/>
      <c r="H106" s="157"/>
    </row>
    <row r="107" spans="1:8" s="144" customFormat="1" ht="12" customHeight="1" hidden="1">
      <c r="A107" s="119"/>
      <c r="B107" s="157"/>
      <c r="C107" s="157"/>
      <c r="D107" s="119"/>
      <c r="E107" s="157"/>
      <c r="F107" s="119"/>
      <c r="G107" s="119"/>
      <c r="H107" s="157"/>
    </row>
    <row r="108" spans="1:8" s="144" customFormat="1" ht="12" customHeight="1" hidden="1">
      <c r="A108" s="119"/>
      <c r="B108" s="157"/>
      <c r="C108" s="157"/>
      <c r="D108" s="119"/>
      <c r="E108" s="157"/>
      <c r="F108" s="119"/>
      <c r="G108" s="119"/>
      <c r="H108" s="157"/>
    </row>
    <row r="109" spans="1:8" s="144" customFormat="1" ht="12" customHeight="1" hidden="1">
      <c r="A109" s="119"/>
      <c r="B109" s="157"/>
      <c r="C109" s="157"/>
      <c r="D109" s="119"/>
      <c r="E109" s="157"/>
      <c r="F109" s="119"/>
      <c r="G109" s="119"/>
      <c r="H109" s="157"/>
    </row>
    <row r="110" spans="1:8" s="144" customFormat="1" ht="12" customHeight="1" hidden="1">
      <c r="A110" s="119"/>
      <c r="B110" s="157"/>
      <c r="C110" s="157"/>
      <c r="D110" s="119"/>
      <c r="E110" s="157"/>
      <c r="F110" s="119"/>
      <c r="G110" s="119"/>
      <c r="H110" s="157"/>
    </row>
    <row r="111" spans="1:8" s="144" customFormat="1" ht="11.25" customHeight="1" hidden="1">
      <c r="A111" s="119"/>
      <c r="B111" s="157"/>
      <c r="C111" s="157"/>
      <c r="D111" s="119"/>
      <c r="E111" s="157"/>
      <c r="F111" s="119"/>
      <c r="G111" s="119"/>
      <c r="H111" s="157"/>
    </row>
    <row r="112" spans="1:8" s="144" customFormat="1" ht="11.25" customHeight="1" hidden="1">
      <c r="A112" s="119"/>
      <c r="B112" s="157"/>
      <c r="C112" s="157"/>
      <c r="D112" s="119"/>
      <c r="E112" s="157"/>
      <c r="F112" s="119"/>
      <c r="G112" s="119"/>
      <c r="H112" s="157"/>
    </row>
    <row r="113" spans="1:8" s="144" customFormat="1" ht="12" customHeight="1" hidden="1">
      <c r="A113" s="119"/>
      <c r="B113" s="157"/>
      <c r="C113" s="157"/>
      <c r="D113" s="119"/>
      <c r="E113" s="157"/>
      <c r="F113" s="119"/>
      <c r="G113" s="119"/>
      <c r="H113" s="157"/>
    </row>
    <row r="114" spans="1:8" s="144" customFormat="1" ht="11.25" customHeight="1" hidden="1">
      <c r="A114" s="119"/>
      <c r="B114" s="157"/>
      <c r="C114" s="157"/>
      <c r="D114" s="119"/>
      <c r="E114" s="157"/>
      <c r="F114" s="119"/>
      <c r="G114" s="119"/>
      <c r="H114" s="157"/>
    </row>
    <row r="115" spans="1:8" s="144" customFormat="1" ht="11.25" customHeight="1" hidden="1">
      <c r="A115" s="119"/>
      <c r="B115" s="157"/>
      <c r="C115" s="157"/>
      <c r="D115" s="119"/>
      <c r="E115" s="157"/>
      <c r="F115" s="119"/>
      <c r="G115" s="119"/>
      <c r="H115" s="157"/>
    </row>
    <row r="116" spans="1:8" s="144" customFormat="1" ht="11.25" customHeight="1" hidden="1">
      <c r="A116" s="119"/>
      <c r="B116" s="157"/>
      <c r="C116" s="157"/>
      <c r="D116" s="119"/>
      <c r="E116" s="157"/>
      <c r="F116" s="119"/>
      <c r="G116" s="119"/>
      <c r="H116" s="157"/>
    </row>
    <row r="117" spans="1:8" s="144" customFormat="1" ht="11.25" customHeight="1" hidden="1">
      <c r="A117" s="119"/>
      <c r="B117" s="157"/>
      <c r="C117" s="157"/>
      <c r="D117" s="119"/>
      <c r="E117" s="157"/>
      <c r="F117" s="119"/>
      <c r="G117" s="119"/>
      <c r="H117" s="157"/>
    </row>
    <row r="118" spans="1:8" s="144" customFormat="1" ht="11.25" customHeight="1" hidden="1">
      <c r="A118" s="119"/>
      <c r="B118" s="157"/>
      <c r="C118" s="157"/>
      <c r="D118" s="119"/>
      <c r="E118" s="157"/>
      <c r="F118" s="119"/>
      <c r="G118" s="119"/>
      <c r="H118" s="157"/>
    </row>
    <row r="119" spans="1:8" s="144" customFormat="1" ht="11.25" customHeight="1" hidden="1">
      <c r="A119" s="119"/>
      <c r="B119" s="157"/>
      <c r="C119" s="157"/>
      <c r="D119" s="119"/>
      <c r="E119" s="157"/>
      <c r="F119" s="119"/>
      <c r="G119" s="119"/>
      <c r="H119" s="157"/>
    </row>
    <row r="120" spans="1:8" s="144" customFormat="1" ht="11.25" customHeight="1" hidden="1">
      <c r="A120" s="119"/>
      <c r="B120" s="157"/>
      <c r="C120" s="157"/>
      <c r="D120" s="119"/>
      <c r="E120" s="157"/>
      <c r="F120" s="119"/>
      <c r="G120" s="119"/>
      <c r="H120" s="157"/>
    </row>
    <row r="121" spans="1:8" s="144" customFormat="1" ht="11.25" customHeight="1" hidden="1">
      <c r="A121" s="119"/>
      <c r="B121" s="157"/>
      <c r="C121" s="157"/>
      <c r="D121" s="119"/>
      <c r="E121" s="157"/>
      <c r="F121" s="119"/>
      <c r="G121" s="119"/>
      <c r="H121" s="157"/>
    </row>
    <row r="122" spans="1:8" s="144" customFormat="1" ht="11.25" customHeight="1" hidden="1">
      <c r="A122" s="119"/>
      <c r="B122" s="157"/>
      <c r="C122" s="157"/>
      <c r="D122" s="119"/>
      <c r="E122" s="157"/>
      <c r="F122" s="119"/>
      <c r="G122" s="119"/>
      <c r="H122" s="157"/>
    </row>
    <row r="123" spans="1:8" s="144" customFormat="1" ht="12" customHeight="1" hidden="1">
      <c r="A123" s="119"/>
      <c r="B123" s="157"/>
      <c r="C123" s="157"/>
      <c r="D123" s="119"/>
      <c r="E123" s="157"/>
      <c r="F123" s="119"/>
      <c r="G123" s="119"/>
      <c r="H123" s="157"/>
    </row>
    <row r="124" spans="1:8" s="144" customFormat="1" ht="12" customHeight="1" hidden="1">
      <c r="A124" s="119"/>
      <c r="B124" s="157"/>
      <c r="C124" s="157"/>
      <c r="D124" s="119"/>
      <c r="E124" s="157"/>
      <c r="F124" s="119"/>
      <c r="G124" s="119"/>
      <c r="H124" s="157"/>
    </row>
    <row r="125" spans="1:8" s="144" customFormat="1" ht="11.25" customHeight="1" hidden="1">
      <c r="A125" s="119"/>
      <c r="B125" s="157"/>
      <c r="C125" s="157"/>
      <c r="D125" s="119"/>
      <c r="E125" s="157"/>
      <c r="F125" s="119"/>
      <c r="G125" s="119"/>
      <c r="H125" s="157"/>
    </row>
    <row r="126" spans="1:8" s="144" customFormat="1" ht="11.25" customHeight="1" hidden="1">
      <c r="A126" s="119"/>
      <c r="B126" s="157"/>
      <c r="C126" s="157"/>
      <c r="D126" s="119"/>
      <c r="E126" s="157"/>
      <c r="F126" s="119"/>
      <c r="G126" s="119"/>
      <c r="H126" s="157"/>
    </row>
    <row r="127" spans="1:8" s="144" customFormat="1" ht="11.25" customHeight="1" hidden="1">
      <c r="A127" s="119"/>
      <c r="B127" s="157"/>
      <c r="C127" s="157"/>
      <c r="D127" s="119"/>
      <c r="E127" s="157"/>
      <c r="F127" s="119"/>
      <c r="G127" s="119"/>
      <c r="H127" s="157"/>
    </row>
    <row r="128" spans="1:8" ht="12.75" customHeight="1" hidden="1">
      <c r="A128" s="478"/>
      <c r="B128" s="478"/>
      <c r="C128" s="478"/>
      <c r="D128" s="478"/>
      <c r="E128" s="507"/>
      <c r="F128" s="478"/>
      <c r="G128" s="478"/>
      <c r="H128" s="478"/>
    </row>
    <row r="129" spans="1:8" ht="44.25" customHeight="1">
      <c r="A129" s="478"/>
      <c r="B129" s="478"/>
      <c r="C129" s="478"/>
      <c r="D129" s="478"/>
      <c r="E129" s="507"/>
      <c r="F129" s="478"/>
      <c r="G129" s="478"/>
      <c r="H129" s="478"/>
    </row>
    <row r="130" spans="1:8" s="323" customFormat="1" ht="12.75">
      <c r="A130" s="119"/>
      <c r="B130" s="157"/>
      <c r="C130" s="157"/>
      <c r="D130" s="119"/>
      <c r="E130" s="157"/>
      <c r="F130" s="119"/>
      <c r="G130" s="119"/>
      <c r="H130" s="157"/>
    </row>
    <row r="131" spans="1:8" s="323" customFormat="1" ht="12.75">
      <c r="A131" s="119"/>
      <c r="B131" s="157"/>
      <c r="C131" s="157"/>
      <c r="D131" s="119"/>
      <c r="E131" s="157"/>
      <c r="F131" s="119"/>
      <c r="G131" s="119"/>
      <c r="H131" s="157"/>
    </row>
    <row r="132" spans="1:8" s="515" customFormat="1" ht="12.75">
      <c r="A132" s="119"/>
      <c r="B132" s="157"/>
      <c r="C132" s="157"/>
      <c r="D132" s="119"/>
      <c r="E132" s="157"/>
      <c r="F132" s="119"/>
      <c r="G132" s="119"/>
      <c r="H132" s="157"/>
    </row>
    <row r="133" spans="1:8" s="323" customFormat="1" ht="4.5" customHeight="1">
      <c r="A133" s="119"/>
      <c r="B133" s="157"/>
      <c r="C133" s="157"/>
      <c r="D133" s="119"/>
      <c r="E133" s="157"/>
      <c r="F133" s="119"/>
      <c r="G133" s="119"/>
      <c r="H133" s="157"/>
    </row>
    <row r="134" spans="1:8" s="515" customFormat="1" ht="12.75">
      <c r="A134" s="119"/>
      <c r="B134" s="157"/>
      <c r="C134" s="157"/>
      <c r="D134" s="119"/>
      <c r="E134" s="157"/>
      <c r="F134" s="119"/>
      <c r="G134" s="119"/>
      <c r="H134" s="157"/>
    </row>
    <row r="135" spans="1:8" s="323" customFormat="1" ht="4.5" customHeight="1">
      <c r="A135" s="119"/>
      <c r="B135" s="157"/>
      <c r="C135" s="157"/>
      <c r="D135" s="119"/>
      <c r="E135" s="157"/>
      <c r="F135" s="119"/>
      <c r="G135" s="119"/>
      <c r="H135" s="157"/>
    </row>
  </sheetData>
  <sheetProtection/>
  <mergeCells count="17">
    <mergeCell ref="C100:D100"/>
    <mergeCell ref="F100:H100"/>
    <mergeCell ref="C12:C17"/>
    <mergeCell ref="D12:D17"/>
    <mergeCell ref="F97:H97"/>
    <mergeCell ref="C97:D97"/>
    <mergeCell ref="C53:C54"/>
    <mergeCell ref="E12:H12"/>
    <mergeCell ref="E53:E54"/>
    <mergeCell ref="A10:H10"/>
    <mergeCell ref="F53:F54"/>
    <mergeCell ref="G53:G54"/>
    <mergeCell ref="H53:H54"/>
    <mergeCell ref="A12:A17"/>
    <mergeCell ref="B12:B17"/>
    <mergeCell ref="B53:B54"/>
    <mergeCell ref="D53:D54"/>
  </mergeCells>
  <printOptions/>
  <pageMargins left="1.1811023622047245" right="0.3937007874015748" top="0.984251968503937" bottom="0.5905511811023623" header="0.2755905511811024" footer="0.2755905511811024"/>
  <pageSetup fitToHeight="5"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tabColor rgb="FFFFFF00"/>
  </sheetPr>
  <dimension ref="A1:K63"/>
  <sheetViews>
    <sheetView zoomScale="120" zoomScaleNormal="120" zoomScalePageLayoutView="0" workbookViewId="0" topLeftCell="A37">
      <selection activeCell="A58" sqref="A58:IV58"/>
    </sheetView>
  </sheetViews>
  <sheetFormatPr defaultColWidth="1.37890625" defaultRowHeight="12.75"/>
  <cols>
    <col min="1" max="1" width="6.00390625" style="1" customWidth="1"/>
    <col min="2" max="2" width="66.625" style="2" customWidth="1"/>
    <col min="3" max="3" width="6.875" style="3" customWidth="1"/>
    <col min="4" max="4" width="5.75390625" style="3" customWidth="1"/>
    <col min="5" max="5" width="8.75390625" style="3" customWidth="1"/>
    <col min="6" max="6" width="14.00390625" style="318" customWidth="1"/>
    <col min="7" max="7" width="12.25390625" style="3" customWidth="1"/>
    <col min="8" max="8" width="11.875" style="3" customWidth="1"/>
    <col min="9" max="9" width="7.75390625" style="3" customWidth="1"/>
    <col min="10" max="10" width="1.37890625" style="3" customWidth="1"/>
    <col min="11" max="11" width="12.75390625" style="3" bestFit="1" customWidth="1"/>
    <col min="12" max="16384" width="1.37890625" style="3" customWidth="1"/>
  </cols>
  <sheetData>
    <row r="1" spans="1:9" ht="12.75" customHeight="1">
      <c r="A1" s="668" t="s">
        <v>351</v>
      </c>
      <c r="B1" s="668"/>
      <c r="C1" s="668"/>
      <c r="D1" s="668"/>
      <c r="E1" s="668"/>
      <c r="F1" s="668"/>
      <c r="G1" s="668"/>
      <c r="H1" s="668"/>
      <c r="I1" s="668"/>
    </row>
    <row r="2" spans="1:9" ht="7.5" customHeight="1">
      <c r="A2" s="2"/>
      <c r="C2" s="2"/>
      <c r="D2" s="2"/>
      <c r="E2" s="2"/>
      <c r="F2" s="309"/>
      <c r="G2" s="2"/>
      <c r="H2" s="2"/>
      <c r="I2" s="2"/>
    </row>
    <row r="3" spans="1:9" s="2" customFormat="1" ht="12" customHeight="1">
      <c r="A3" s="687" t="s">
        <v>344</v>
      </c>
      <c r="B3" s="687" t="s">
        <v>15</v>
      </c>
      <c r="C3" s="687" t="s">
        <v>345</v>
      </c>
      <c r="D3" s="687" t="s">
        <v>346</v>
      </c>
      <c r="E3" s="671" t="s">
        <v>352</v>
      </c>
      <c r="F3" s="669" t="s">
        <v>4</v>
      </c>
      <c r="G3" s="669"/>
      <c r="H3" s="669"/>
      <c r="I3" s="669"/>
    </row>
    <row r="4" spans="1:9" s="2" customFormat="1" ht="12" customHeight="1">
      <c r="A4" s="688"/>
      <c r="B4" s="688"/>
      <c r="C4" s="688"/>
      <c r="D4" s="688"/>
      <c r="E4" s="672"/>
      <c r="F4" s="310" t="s">
        <v>312</v>
      </c>
      <c r="G4" s="122" t="s">
        <v>360</v>
      </c>
      <c r="H4" s="122" t="s">
        <v>361</v>
      </c>
      <c r="I4" s="122" t="s">
        <v>13</v>
      </c>
    </row>
    <row r="5" spans="1:9" s="2" customFormat="1" ht="12" customHeight="1">
      <c r="A5" s="688"/>
      <c r="B5" s="688"/>
      <c r="C5" s="688"/>
      <c r="D5" s="688"/>
      <c r="E5" s="672"/>
      <c r="F5" s="311" t="s">
        <v>125</v>
      </c>
      <c r="G5" s="123" t="s">
        <v>127</v>
      </c>
      <c r="H5" s="123" t="s">
        <v>130</v>
      </c>
      <c r="I5" s="123" t="s">
        <v>14</v>
      </c>
    </row>
    <row r="6" spans="1:9" s="2" customFormat="1" ht="12" customHeight="1">
      <c r="A6" s="688"/>
      <c r="B6" s="688"/>
      <c r="C6" s="688"/>
      <c r="D6" s="688"/>
      <c r="E6" s="672"/>
      <c r="F6" s="311" t="s">
        <v>126</v>
      </c>
      <c r="G6" s="123" t="s">
        <v>10</v>
      </c>
      <c r="H6" s="123" t="s">
        <v>10</v>
      </c>
      <c r="I6" s="123" t="s">
        <v>10</v>
      </c>
    </row>
    <row r="7" spans="1:9" s="2" customFormat="1" ht="32.25" customHeight="1">
      <c r="A7" s="688"/>
      <c r="B7" s="688"/>
      <c r="C7" s="688"/>
      <c r="D7" s="688"/>
      <c r="E7" s="672"/>
      <c r="F7" s="312" t="s">
        <v>128</v>
      </c>
      <c r="G7" s="124" t="s">
        <v>129</v>
      </c>
      <c r="H7" s="124" t="s">
        <v>129</v>
      </c>
      <c r="I7" s="124" t="s">
        <v>11</v>
      </c>
    </row>
    <row r="8" spans="1:9" s="2" customFormat="1" ht="12" customHeight="1">
      <c r="A8" s="125">
        <v>1</v>
      </c>
      <c r="B8" s="125">
        <v>2</v>
      </c>
      <c r="C8" s="125">
        <v>3</v>
      </c>
      <c r="D8" s="125">
        <v>4</v>
      </c>
      <c r="E8" s="180">
        <v>5</v>
      </c>
      <c r="F8" s="313">
        <v>6</v>
      </c>
      <c r="G8" s="125">
        <v>7</v>
      </c>
      <c r="H8" s="125">
        <v>8</v>
      </c>
      <c r="I8" s="125">
        <v>9</v>
      </c>
    </row>
    <row r="9" spans="1:9" ht="18" customHeight="1">
      <c r="A9" s="182" t="s">
        <v>131</v>
      </c>
      <c r="B9" s="185" t="s">
        <v>353</v>
      </c>
      <c r="C9" s="183" t="s">
        <v>124</v>
      </c>
      <c r="D9" s="181" t="s">
        <v>23</v>
      </c>
      <c r="E9" s="181" t="s">
        <v>23</v>
      </c>
      <c r="F9" s="314">
        <f>F20+F53</f>
        <v>92169748.13</v>
      </c>
      <c r="G9" s="184">
        <f>G20+G53</f>
        <v>105137830.87</v>
      </c>
      <c r="H9" s="184">
        <f>H20+H53</f>
        <v>105137830.87</v>
      </c>
      <c r="I9" s="128"/>
    </row>
    <row r="10" spans="1:9" ht="12.75" customHeight="1">
      <c r="A10" s="665" t="s">
        <v>133</v>
      </c>
      <c r="B10" s="186" t="s">
        <v>17</v>
      </c>
      <c r="C10" s="665" t="s">
        <v>134</v>
      </c>
      <c r="D10" s="665" t="s">
        <v>23</v>
      </c>
      <c r="E10" s="661"/>
      <c r="F10" s="667" t="s">
        <v>23</v>
      </c>
      <c r="G10" s="670" t="s">
        <v>23</v>
      </c>
      <c r="H10" s="670" t="s">
        <v>23</v>
      </c>
      <c r="I10" s="673"/>
    </row>
    <row r="11" spans="1:9" ht="12.75" customHeight="1">
      <c r="A11" s="665"/>
      <c r="B11" s="186" t="s">
        <v>146</v>
      </c>
      <c r="C11" s="665"/>
      <c r="D11" s="665"/>
      <c r="E11" s="662"/>
      <c r="F11" s="667"/>
      <c r="G11" s="670"/>
      <c r="H11" s="670"/>
      <c r="I11" s="673"/>
    </row>
    <row r="12" spans="1:9" ht="12.75" customHeight="1">
      <c r="A12" s="665"/>
      <c r="B12" s="186" t="s">
        <v>147</v>
      </c>
      <c r="C12" s="665"/>
      <c r="D12" s="665"/>
      <c r="E12" s="662"/>
      <c r="F12" s="667"/>
      <c r="G12" s="670"/>
      <c r="H12" s="670"/>
      <c r="I12" s="673"/>
    </row>
    <row r="13" spans="1:9" ht="12.75" customHeight="1">
      <c r="A13" s="665"/>
      <c r="B13" s="186" t="s">
        <v>148</v>
      </c>
      <c r="C13" s="665"/>
      <c r="D13" s="665"/>
      <c r="E13" s="662"/>
      <c r="F13" s="667"/>
      <c r="G13" s="670"/>
      <c r="H13" s="670"/>
      <c r="I13" s="673"/>
    </row>
    <row r="14" spans="1:9" ht="12.75" customHeight="1">
      <c r="A14" s="665"/>
      <c r="B14" s="186" t="s">
        <v>395</v>
      </c>
      <c r="C14" s="665"/>
      <c r="D14" s="665"/>
      <c r="E14" s="662"/>
      <c r="F14" s="667"/>
      <c r="G14" s="670"/>
      <c r="H14" s="670"/>
      <c r="I14" s="673"/>
    </row>
    <row r="15" spans="1:9" ht="12.75" customHeight="1">
      <c r="A15" s="665"/>
      <c r="B15" s="186" t="s">
        <v>396</v>
      </c>
      <c r="C15" s="665"/>
      <c r="D15" s="665"/>
      <c r="E15" s="662"/>
      <c r="F15" s="667"/>
      <c r="G15" s="670"/>
      <c r="H15" s="670"/>
      <c r="I15" s="673"/>
    </row>
    <row r="16" spans="1:9" ht="18" customHeight="1">
      <c r="A16" s="665"/>
      <c r="B16" s="186" t="s">
        <v>397</v>
      </c>
      <c r="C16" s="665"/>
      <c r="D16" s="665"/>
      <c r="E16" s="662"/>
      <c r="F16" s="667"/>
      <c r="G16" s="670"/>
      <c r="H16" s="670"/>
      <c r="I16" s="673"/>
    </row>
    <row r="17" spans="1:9" ht="12.75" customHeight="1">
      <c r="A17" s="665" t="s">
        <v>132</v>
      </c>
      <c r="B17" s="187" t="s">
        <v>149</v>
      </c>
      <c r="C17" s="665" t="s">
        <v>107</v>
      </c>
      <c r="D17" s="665" t="s">
        <v>23</v>
      </c>
      <c r="E17" s="663"/>
      <c r="F17" s="667" t="s">
        <v>23</v>
      </c>
      <c r="G17" s="670" t="s">
        <v>23</v>
      </c>
      <c r="H17" s="670" t="s">
        <v>23</v>
      </c>
      <c r="I17" s="673"/>
    </row>
    <row r="18" spans="1:9" ht="12.75" customHeight="1">
      <c r="A18" s="665"/>
      <c r="B18" s="186" t="s">
        <v>150</v>
      </c>
      <c r="C18" s="665"/>
      <c r="D18" s="665"/>
      <c r="E18" s="664"/>
      <c r="F18" s="667"/>
      <c r="G18" s="670"/>
      <c r="H18" s="670"/>
      <c r="I18" s="673"/>
    </row>
    <row r="19" spans="1:9" ht="20.25" customHeight="1">
      <c r="A19" s="665"/>
      <c r="B19" s="188" t="s">
        <v>242</v>
      </c>
      <c r="C19" s="665"/>
      <c r="D19" s="665"/>
      <c r="E19" s="664"/>
      <c r="F19" s="667"/>
      <c r="G19" s="670"/>
      <c r="H19" s="670"/>
      <c r="I19" s="673"/>
    </row>
    <row r="20" spans="1:9" ht="12.75" customHeight="1">
      <c r="A20" s="665" t="s">
        <v>135</v>
      </c>
      <c r="B20" s="187" t="s">
        <v>151</v>
      </c>
      <c r="C20" s="665" t="s">
        <v>137</v>
      </c>
      <c r="D20" s="665" t="s">
        <v>23</v>
      </c>
      <c r="E20" s="663"/>
      <c r="F20" s="667">
        <f>F24</f>
        <v>23504760</v>
      </c>
      <c r="G20" s="667">
        <f>G24</f>
        <v>23504760</v>
      </c>
      <c r="H20" s="667">
        <f>H24</f>
        <v>23504760</v>
      </c>
      <c r="I20" s="673"/>
    </row>
    <row r="21" spans="1:9" ht="16.5" customHeight="1">
      <c r="A21" s="665"/>
      <c r="B21" s="186" t="s">
        <v>243</v>
      </c>
      <c r="C21" s="665"/>
      <c r="D21" s="665"/>
      <c r="E21" s="664"/>
      <c r="F21" s="667"/>
      <c r="G21" s="667"/>
      <c r="H21" s="667"/>
      <c r="I21" s="673"/>
    </row>
    <row r="22" spans="1:11" ht="12.75" customHeight="1">
      <c r="A22" s="181" t="s">
        <v>398</v>
      </c>
      <c r="B22" s="189" t="s">
        <v>347</v>
      </c>
      <c r="C22" s="181" t="s">
        <v>289</v>
      </c>
      <c r="D22" s="181" t="s">
        <v>23</v>
      </c>
      <c r="E22" s="181" t="s">
        <v>23</v>
      </c>
      <c r="F22" s="314"/>
      <c r="G22" s="314"/>
      <c r="H22" s="314"/>
      <c r="I22" s="129"/>
      <c r="K22" s="534"/>
    </row>
    <row r="23" spans="1:9" ht="17.25" customHeight="1">
      <c r="A23" s="181"/>
      <c r="B23" s="189" t="s">
        <v>354</v>
      </c>
      <c r="C23" s="181" t="s">
        <v>290</v>
      </c>
      <c r="D23" s="181"/>
      <c r="E23" s="181"/>
      <c r="F23" s="314"/>
      <c r="G23" s="314"/>
      <c r="H23" s="314"/>
      <c r="I23" s="130"/>
    </row>
    <row r="24" spans="1:9" ht="12.75" customHeight="1">
      <c r="A24" s="181" t="s">
        <v>399</v>
      </c>
      <c r="B24" s="189" t="s">
        <v>175</v>
      </c>
      <c r="C24" s="181" t="s">
        <v>291</v>
      </c>
      <c r="D24" s="181" t="s">
        <v>23</v>
      </c>
      <c r="E24" s="181" t="s">
        <v>23</v>
      </c>
      <c r="F24" s="314">
        <v>23504760</v>
      </c>
      <c r="G24" s="314">
        <v>23504760</v>
      </c>
      <c r="H24" s="314">
        <v>23504760</v>
      </c>
      <c r="I24" s="129"/>
    </row>
    <row r="25" spans="1:9" ht="12.75" customHeight="1">
      <c r="A25" s="665" t="s">
        <v>136</v>
      </c>
      <c r="B25" s="190" t="s">
        <v>149</v>
      </c>
      <c r="C25" s="665" t="s">
        <v>138</v>
      </c>
      <c r="D25" s="665" t="s">
        <v>23</v>
      </c>
      <c r="E25" s="663"/>
      <c r="F25" s="666"/>
      <c r="G25" s="666"/>
      <c r="H25" s="666"/>
      <c r="I25" s="673"/>
    </row>
    <row r="26" spans="1:9" ht="12.75" customHeight="1">
      <c r="A26" s="665"/>
      <c r="B26" s="186" t="s">
        <v>152</v>
      </c>
      <c r="C26" s="665"/>
      <c r="D26" s="665"/>
      <c r="E26" s="664"/>
      <c r="F26" s="666"/>
      <c r="G26" s="666"/>
      <c r="H26" s="666"/>
      <c r="I26" s="673"/>
    </row>
    <row r="27" spans="1:9" ht="15" customHeight="1">
      <c r="A27" s="665"/>
      <c r="B27" s="188" t="s">
        <v>244</v>
      </c>
      <c r="C27" s="665"/>
      <c r="D27" s="665"/>
      <c r="E27" s="664"/>
      <c r="F27" s="666"/>
      <c r="G27" s="666"/>
      <c r="H27" s="666"/>
      <c r="I27" s="673"/>
    </row>
    <row r="28" spans="1:9" ht="12.75" customHeight="1">
      <c r="A28" s="192" t="s">
        <v>139</v>
      </c>
      <c r="B28" s="191" t="s">
        <v>348</v>
      </c>
      <c r="C28" s="181" t="s">
        <v>140</v>
      </c>
      <c r="D28" s="181" t="s">
        <v>23</v>
      </c>
      <c r="E28" s="192"/>
      <c r="F28" s="314"/>
      <c r="G28" s="314"/>
      <c r="H28" s="314"/>
      <c r="I28" s="129"/>
    </row>
    <row r="29" spans="1:9" ht="12.75" customHeight="1">
      <c r="A29" s="665" t="s">
        <v>141</v>
      </c>
      <c r="B29" s="193" t="s">
        <v>17</v>
      </c>
      <c r="C29" s="665" t="s">
        <v>142</v>
      </c>
      <c r="D29" s="665" t="s">
        <v>23</v>
      </c>
      <c r="E29" s="663"/>
      <c r="F29" s="667"/>
      <c r="G29" s="667"/>
      <c r="H29" s="667"/>
      <c r="I29" s="673"/>
    </row>
    <row r="30" spans="1:9" ht="12.75" customHeight="1">
      <c r="A30" s="665"/>
      <c r="B30" s="194" t="s">
        <v>145</v>
      </c>
      <c r="C30" s="665"/>
      <c r="D30" s="665"/>
      <c r="E30" s="664"/>
      <c r="F30" s="667"/>
      <c r="G30" s="667"/>
      <c r="H30" s="667"/>
      <c r="I30" s="673"/>
    </row>
    <row r="31" spans="1:9" ht="17.25" customHeight="1">
      <c r="A31" s="181" t="s">
        <v>143</v>
      </c>
      <c r="B31" s="195" t="s">
        <v>245</v>
      </c>
      <c r="C31" s="181" t="s">
        <v>144</v>
      </c>
      <c r="D31" s="181" t="s">
        <v>23</v>
      </c>
      <c r="E31" s="181"/>
      <c r="F31" s="314"/>
      <c r="G31" s="314"/>
      <c r="H31" s="314"/>
      <c r="I31" s="129"/>
    </row>
    <row r="32" spans="1:9" ht="12.75" customHeight="1">
      <c r="A32" s="665" t="s">
        <v>153</v>
      </c>
      <c r="B32" s="193" t="s">
        <v>169</v>
      </c>
      <c r="C32" s="665" t="s">
        <v>154</v>
      </c>
      <c r="D32" s="665" t="s">
        <v>23</v>
      </c>
      <c r="E32" s="689"/>
      <c r="F32" s="676"/>
      <c r="G32" s="676"/>
      <c r="H32" s="676"/>
      <c r="I32" s="673"/>
    </row>
    <row r="33" spans="1:9" ht="15" customHeight="1">
      <c r="A33" s="665"/>
      <c r="B33" s="196" t="s">
        <v>170</v>
      </c>
      <c r="C33" s="665"/>
      <c r="D33" s="665"/>
      <c r="E33" s="691"/>
      <c r="F33" s="677"/>
      <c r="G33" s="677"/>
      <c r="H33" s="677"/>
      <c r="I33" s="673"/>
    </row>
    <row r="34" spans="1:9" ht="9.75" customHeight="1">
      <c r="A34" s="674" t="s">
        <v>155</v>
      </c>
      <c r="B34" s="683" t="s">
        <v>288</v>
      </c>
      <c r="C34" s="674" t="s">
        <v>157</v>
      </c>
      <c r="D34" s="674" t="s">
        <v>23</v>
      </c>
      <c r="E34" s="689"/>
      <c r="F34" s="676"/>
      <c r="G34" s="676"/>
      <c r="H34" s="676"/>
      <c r="I34" s="685"/>
    </row>
    <row r="35" spans="1:9" ht="9" customHeight="1">
      <c r="A35" s="675"/>
      <c r="B35" s="684"/>
      <c r="C35" s="675"/>
      <c r="D35" s="675"/>
      <c r="E35" s="690"/>
      <c r="F35" s="677"/>
      <c r="G35" s="677"/>
      <c r="H35" s="677"/>
      <c r="I35" s="686"/>
    </row>
    <row r="36" spans="1:9" ht="12.75" customHeight="1">
      <c r="A36" s="181"/>
      <c r="B36" s="127" t="s">
        <v>354</v>
      </c>
      <c r="C36" s="181" t="s">
        <v>281</v>
      </c>
      <c r="D36" s="181" t="s">
        <v>23</v>
      </c>
      <c r="E36" s="181"/>
      <c r="F36" s="315"/>
      <c r="G36" s="315"/>
      <c r="H36" s="315"/>
      <c r="I36" s="129"/>
    </row>
    <row r="37" spans="1:9" ht="12.75" customHeight="1">
      <c r="A37" s="181" t="s">
        <v>156</v>
      </c>
      <c r="B37" s="197" t="s">
        <v>245</v>
      </c>
      <c r="C37" s="181" t="s">
        <v>158</v>
      </c>
      <c r="D37" s="181" t="s">
        <v>23</v>
      </c>
      <c r="E37" s="181"/>
      <c r="F37" s="315"/>
      <c r="G37" s="315"/>
      <c r="H37" s="315"/>
      <c r="I37" s="129"/>
    </row>
    <row r="38" spans="1:9" ht="18" customHeight="1">
      <c r="A38" s="181" t="s">
        <v>161</v>
      </c>
      <c r="B38" s="127" t="s">
        <v>246</v>
      </c>
      <c r="C38" s="181" t="s">
        <v>159</v>
      </c>
      <c r="D38" s="181" t="s">
        <v>23</v>
      </c>
      <c r="E38" s="181"/>
      <c r="F38" s="315"/>
      <c r="G38" s="315"/>
      <c r="H38" s="315"/>
      <c r="I38" s="129"/>
    </row>
    <row r="39" spans="1:9" ht="12.75" customHeight="1">
      <c r="A39" s="181"/>
      <c r="B39" s="197" t="s">
        <v>354</v>
      </c>
      <c r="C39" s="181" t="s">
        <v>292</v>
      </c>
      <c r="D39" s="181" t="s">
        <v>23</v>
      </c>
      <c r="E39" s="181"/>
      <c r="F39" s="315"/>
      <c r="G39" s="315"/>
      <c r="H39" s="315"/>
      <c r="I39" s="129"/>
    </row>
    <row r="40" spans="1:9" ht="12.75" customHeight="1">
      <c r="A40" s="181" t="s">
        <v>160</v>
      </c>
      <c r="B40" s="127" t="s">
        <v>171</v>
      </c>
      <c r="C40" s="181" t="s">
        <v>162</v>
      </c>
      <c r="D40" s="181" t="s">
        <v>23</v>
      </c>
      <c r="E40" s="181"/>
      <c r="F40" s="315">
        <v>0</v>
      </c>
      <c r="G40" s="315">
        <v>0</v>
      </c>
      <c r="H40" s="315">
        <v>0</v>
      </c>
      <c r="I40" s="129"/>
    </row>
    <row r="41" spans="1:9" ht="12.75" customHeight="1">
      <c r="A41" s="665" t="s">
        <v>163</v>
      </c>
      <c r="B41" s="196" t="s">
        <v>17</v>
      </c>
      <c r="C41" s="665" t="s">
        <v>165</v>
      </c>
      <c r="D41" s="665" t="s">
        <v>23</v>
      </c>
      <c r="E41" s="663"/>
      <c r="F41" s="676"/>
      <c r="G41" s="676"/>
      <c r="H41" s="676"/>
      <c r="I41" s="673"/>
    </row>
    <row r="42" spans="1:9" ht="12.75" customHeight="1">
      <c r="A42" s="665"/>
      <c r="B42" s="194" t="s">
        <v>145</v>
      </c>
      <c r="C42" s="665"/>
      <c r="D42" s="665"/>
      <c r="E42" s="664"/>
      <c r="F42" s="677"/>
      <c r="G42" s="677"/>
      <c r="H42" s="677"/>
      <c r="I42" s="673"/>
    </row>
    <row r="43" spans="1:9" ht="12.75" customHeight="1">
      <c r="A43" s="181" t="s">
        <v>164</v>
      </c>
      <c r="B43" s="195" t="s">
        <v>245</v>
      </c>
      <c r="C43" s="181" t="s">
        <v>166</v>
      </c>
      <c r="D43" s="181" t="s">
        <v>23</v>
      </c>
      <c r="E43" s="181"/>
      <c r="F43" s="315">
        <v>0</v>
      </c>
      <c r="G43" s="315">
        <v>0</v>
      </c>
      <c r="H43" s="315">
        <v>0</v>
      </c>
      <c r="I43" s="129"/>
    </row>
    <row r="44" spans="1:9" ht="12.75" customHeight="1">
      <c r="A44" s="181" t="s">
        <v>167</v>
      </c>
      <c r="B44" s="193" t="s">
        <v>172</v>
      </c>
      <c r="C44" s="181" t="s">
        <v>168</v>
      </c>
      <c r="D44" s="181" t="s">
        <v>23</v>
      </c>
      <c r="E44" s="181"/>
      <c r="F44" s="315"/>
      <c r="G44" s="315"/>
      <c r="H44" s="315"/>
      <c r="I44" s="129"/>
    </row>
    <row r="45" spans="1:9" ht="12" customHeight="1">
      <c r="A45" s="665" t="s">
        <v>173</v>
      </c>
      <c r="B45" s="197" t="s">
        <v>17</v>
      </c>
      <c r="C45" s="665" t="s">
        <v>176</v>
      </c>
      <c r="D45" s="665" t="s">
        <v>23</v>
      </c>
      <c r="E45" s="689"/>
      <c r="F45" s="666"/>
      <c r="G45" s="666"/>
      <c r="H45" s="666"/>
      <c r="I45" s="673"/>
    </row>
    <row r="46" spans="1:9" ht="9.75" customHeight="1">
      <c r="A46" s="665"/>
      <c r="B46" s="196" t="s">
        <v>145</v>
      </c>
      <c r="C46" s="665"/>
      <c r="D46" s="665"/>
      <c r="E46" s="691"/>
      <c r="F46" s="666"/>
      <c r="G46" s="666"/>
      <c r="H46" s="666"/>
      <c r="I46" s="673"/>
    </row>
    <row r="47" spans="1:9" s="119" customFormat="1" ht="12.75" customHeight="1">
      <c r="A47" s="181"/>
      <c r="B47" s="197" t="s">
        <v>354</v>
      </c>
      <c r="C47" s="181" t="s">
        <v>293</v>
      </c>
      <c r="D47" s="181" t="s">
        <v>23</v>
      </c>
      <c r="E47" s="181"/>
      <c r="F47" s="315"/>
      <c r="G47" s="315"/>
      <c r="H47" s="315"/>
      <c r="I47" s="129"/>
    </row>
    <row r="48" spans="1:9" ht="15" customHeight="1">
      <c r="A48" s="181" t="s">
        <v>174</v>
      </c>
      <c r="B48" s="127" t="s">
        <v>175</v>
      </c>
      <c r="C48" s="181" t="s">
        <v>177</v>
      </c>
      <c r="D48" s="181" t="s">
        <v>23</v>
      </c>
      <c r="E48" s="181"/>
      <c r="F48" s="315"/>
      <c r="G48" s="315"/>
      <c r="H48" s="315"/>
      <c r="I48" s="129"/>
    </row>
    <row r="49" spans="1:9" ht="12.75" customHeight="1">
      <c r="A49" s="665" t="s">
        <v>180</v>
      </c>
      <c r="B49" s="678" t="s">
        <v>400</v>
      </c>
      <c r="C49" s="665" t="s">
        <v>178</v>
      </c>
      <c r="D49" s="665" t="s">
        <v>23</v>
      </c>
      <c r="E49" s="663"/>
      <c r="F49" s="666"/>
      <c r="G49" s="666"/>
      <c r="H49" s="666"/>
      <c r="I49" s="673"/>
    </row>
    <row r="50" spans="1:9" ht="12.75" customHeight="1">
      <c r="A50" s="665"/>
      <c r="B50" s="679"/>
      <c r="C50" s="665"/>
      <c r="D50" s="665"/>
      <c r="E50" s="664"/>
      <c r="F50" s="666"/>
      <c r="G50" s="666"/>
      <c r="H50" s="666"/>
      <c r="I50" s="673"/>
    </row>
    <row r="51" spans="1:9" ht="9.75" customHeight="1">
      <c r="A51" s="674"/>
      <c r="B51" s="680" t="s">
        <v>181</v>
      </c>
      <c r="C51" s="674" t="s">
        <v>349</v>
      </c>
      <c r="D51" s="674"/>
      <c r="E51" s="689"/>
      <c r="F51" s="676"/>
      <c r="G51" s="676"/>
      <c r="H51" s="676"/>
      <c r="I51" s="685"/>
    </row>
    <row r="52" spans="1:9" ht="8.25" customHeight="1">
      <c r="A52" s="675"/>
      <c r="B52" s="681"/>
      <c r="C52" s="675"/>
      <c r="D52" s="675"/>
      <c r="E52" s="690"/>
      <c r="F52" s="677"/>
      <c r="G52" s="677"/>
      <c r="H52" s="677"/>
      <c r="I52" s="686"/>
    </row>
    <row r="53" spans="1:11" ht="17.25" customHeight="1">
      <c r="A53" s="665" t="s">
        <v>179</v>
      </c>
      <c r="B53" s="678" t="s">
        <v>401</v>
      </c>
      <c r="C53" s="665" t="s">
        <v>182</v>
      </c>
      <c r="D53" s="665" t="s">
        <v>23</v>
      </c>
      <c r="E53" s="663"/>
      <c r="F53" s="666">
        <f>68170158.13+494830</f>
        <v>68664988.13</v>
      </c>
      <c r="G53" s="666">
        <f>G55</f>
        <v>81633070.87</v>
      </c>
      <c r="H53" s="666">
        <f>H55</f>
        <v>81633070.87</v>
      </c>
      <c r="I53" s="673"/>
      <c r="K53" s="446"/>
    </row>
    <row r="54" spans="1:9" ht="12" customHeight="1">
      <c r="A54" s="674"/>
      <c r="B54" s="682"/>
      <c r="C54" s="674"/>
      <c r="D54" s="674"/>
      <c r="E54" s="694"/>
      <c r="F54" s="666"/>
      <c r="G54" s="666"/>
      <c r="H54" s="666"/>
      <c r="I54" s="673"/>
    </row>
    <row r="55" spans="1:11" ht="12.75" customHeight="1">
      <c r="A55" s="665"/>
      <c r="B55" s="683" t="s">
        <v>181</v>
      </c>
      <c r="C55" s="665" t="s">
        <v>350</v>
      </c>
      <c r="D55" s="665"/>
      <c r="E55" s="663"/>
      <c r="F55" s="693">
        <f>61888157.93+494830</f>
        <v>62382987.93</v>
      </c>
      <c r="G55" s="693">
        <f>105137830.87-G24</f>
        <v>81633070.87</v>
      </c>
      <c r="H55" s="693">
        <f>105137830.87-H24</f>
        <v>81633070.87</v>
      </c>
      <c r="I55" s="673"/>
      <c r="K55" s="534"/>
    </row>
    <row r="56" spans="1:9" ht="4.5" customHeight="1">
      <c r="A56" s="665"/>
      <c r="B56" s="692"/>
      <c r="C56" s="665"/>
      <c r="D56" s="665"/>
      <c r="E56" s="664"/>
      <c r="F56" s="693"/>
      <c r="G56" s="693"/>
      <c r="H56" s="693"/>
      <c r="I56" s="673"/>
    </row>
    <row r="57" spans="1:9" ht="15" customHeight="1">
      <c r="A57" s="199"/>
      <c r="B57" s="200"/>
      <c r="C57" s="199"/>
      <c r="D57" s="199"/>
      <c r="E57" s="201"/>
      <c r="F57" s="316"/>
      <c r="G57" s="203"/>
      <c r="H57" s="203"/>
      <c r="I57" s="202"/>
    </row>
    <row r="58" spans="1:8" s="6" customFormat="1" ht="12.75">
      <c r="A58" s="3" t="s">
        <v>1125</v>
      </c>
      <c r="B58"/>
      <c r="C58" s="145"/>
      <c r="D58" s="146"/>
      <c r="E58" s="278"/>
      <c r="F58" s="146" t="s">
        <v>1121</v>
      </c>
      <c r="G58" s="146"/>
      <c r="H58" s="145"/>
    </row>
    <row r="59" spans="1:8" s="6" customFormat="1" ht="12.75">
      <c r="A59" s="60" t="s">
        <v>394</v>
      </c>
      <c r="B59" s="121"/>
      <c r="C59" s="695" t="s">
        <v>1</v>
      </c>
      <c r="D59" s="695"/>
      <c r="E59" s="198"/>
      <c r="F59" s="696" t="s">
        <v>393</v>
      </c>
      <c r="G59" s="696"/>
      <c r="H59" s="696"/>
    </row>
    <row r="60" spans="1:8" ht="12.75">
      <c r="A60" s="3" t="s">
        <v>1008</v>
      </c>
      <c r="B60" s="121"/>
      <c r="C60" s="145"/>
      <c r="D60" s="146"/>
      <c r="E60" s="198"/>
      <c r="F60" s="146" t="s">
        <v>1003</v>
      </c>
      <c r="G60" s="146"/>
      <c r="H60" s="145"/>
    </row>
    <row r="61" spans="1:8" ht="12.75">
      <c r="A61" s="60"/>
      <c r="B61" s="121" t="s">
        <v>402</v>
      </c>
      <c r="C61" s="659" t="s">
        <v>1</v>
      </c>
      <c r="D61" s="659"/>
      <c r="E61" s="198"/>
      <c r="F61" s="660" t="s">
        <v>393</v>
      </c>
      <c r="G61" s="660"/>
      <c r="H61" s="660"/>
    </row>
    <row r="62" spans="1:8" ht="12.75">
      <c r="A62" s="100"/>
      <c r="B62" s="99" t="s">
        <v>1118</v>
      </c>
      <c r="C62" s="6"/>
      <c r="D62" s="6"/>
      <c r="F62" s="317" t="s">
        <v>1004</v>
      </c>
      <c r="G62" s="146"/>
      <c r="H62" s="145"/>
    </row>
    <row r="63" spans="1:8" ht="12.75">
      <c r="A63" s="100"/>
      <c r="B63" s="99"/>
      <c r="C63" s="6"/>
      <c r="D63" s="6"/>
      <c r="F63" s="318" t="s">
        <v>404</v>
      </c>
      <c r="H63" s="121"/>
    </row>
  </sheetData>
  <sheetProtection/>
  <mergeCells count="120">
    <mergeCell ref="F53:F54"/>
    <mergeCell ref="E53:E54"/>
    <mergeCell ref="C59:D59"/>
    <mergeCell ref="F59:H59"/>
    <mergeCell ref="H55:H56"/>
    <mergeCell ref="I55:I56"/>
    <mergeCell ref="G53:G54"/>
    <mergeCell ref="G55:G56"/>
    <mergeCell ref="H53:H54"/>
    <mergeCell ref="I53:I54"/>
    <mergeCell ref="A55:A56"/>
    <mergeCell ref="B55:B56"/>
    <mergeCell ref="C55:C56"/>
    <mergeCell ref="D55:D56"/>
    <mergeCell ref="E55:E56"/>
    <mergeCell ref="F55:F56"/>
    <mergeCell ref="H45:H46"/>
    <mergeCell ref="I45:I46"/>
    <mergeCell ref="C41:C42"/>
    <mergeCell ref="D51:D52"/>
    <mergeCell ref="E51:E52"/>
    <mergeCell ref="F51:F52"/>
    <mergeCell ref="G51:G52"/>
    <mergeCell ref="H51:H52"/>
    <mergeCell ref="I51:I52"/>
    <mergeCell ref="H49:H50"/>
    <mergeCell ref="A45:A46"/>
    <mergeCell ref="C45:C46"/>
    <mergeCell ref="D45:D46"/>
    <mergeCell ref="E45:E46"/>
    <mergeCell ref="F45:F46"/>
    <mergeCell ref="G45:G46"/>
    <mergeCell ref="F32:F33"/>
    <mergeCell ref="G32:G33"/>
    <mergeCell ref="H32:H33"/>
    <mergeCell ref="G34:G35"/>
    <mergeCell ref="E34:E35"/>
    <mergeCell ref="I41:I42"/>
    <mergeCell ref="I32:I33"/>
    <mergeCell ref="E32:E33"/>
    <mergeCell ref="A3:A7"/>
    <mergeCell ref="B3:B7"/>
    <mergeCell ref="C3:C7"/>
    <mergeCell ref="D3:D7"/>
    <mergeCell ref="A29:A30"/>
    <mergeCell ref="C29:C30"/>
    <mergeCell ref="D29:D30"/>
    <mergeCell ref="A25:A27"/>
    <mergeCell ref="A20:A21"/>
    <mergeCell ref="C20:C21"/>
    <mergeCell ref="B34:B35"/>
    <mergeCell ref="H34:H35"/>
    <mergeCell ref="I34:I35"/>
    <mergeCell ref="D41:D42"/>
    <mergeCell ref="E41:E42"/>
    <mergeCell ref="F41:F42"/>
    <mergeCell ref="G41:G42"/>
    <mergeCell ref="H41:H42"/>
    <mergeCell ref="A53:A54"/>
    <mergeCell ref="C53:C54"/>
    <mergeCell ref="D53:D54"/>
    <mergeCell ref="A51:A52"/>
    <mergeCell ref="B51:B52"/>
    <mergeCell ref="C51:C52"/>
    <mergeCell ref="B53:B54"/>
    <mergeCell ref="I49:I50"/>
    <mergeCell ref="A49:A50"/>
    <mergeCell ref="C49:C50"/>
    <mergeCell ref="D49:D50"/>
    <mergeCell ref="F49:F50"/>
    <mergeCell ref="G49:G50"/>
    <mergeCell ref="B49:B50"/>
    <mergeCell ref="E49:E50"/>
    <mergeCell ref="A41:A42"/>
    <mergeCell ref="F29:F30"/>
    <mergeCell ref="G29:G30"/>
    <mergeCell ref="A32:A33"/>
    <mergeCell ref="C32:C33"/>
    <mergeCell ref="D32:D33"/>
    <mergeCell ref="A34:A35"/>
    <mergeCell ref="C34:C35"/>
    <mergeCell ref="D34:D35"/>
    <mergeCell ref="F34:F35"/>
    <mergeCell ref="H29:H30"/>
    <mergeCell ref="I29:I30"/>
    <mergeCell ref="C17:C19"/>
    <mergeCell ref="D17:D19"/>
    <mergeCell ref="H20:H21"/>
    <mergeCell ref="I20:I21"/>
    <mergeCell ref="C25:C27"/>
    <mergeCell ref="D25:D27"/>
    <mergeCell ref="F25:F27"/>
    <mergeCell ref="E29:E30"/>
    <mergeCell ref="G10:G16"/>
    <mergeCell ref="H17:H19"/>
    <mergeCell ref="I17:I19"/>
    <mergeCell ref="I10:I16"/>
    <mergeCell ref="I25:I27"/>
    <mergeCell ref="F20:F21"/>
    <mergeCell ref="G20:G21"/>
    <mergeCell ref="A17:A19"/>
    <mergeCell ref="A1:I1"/>
    <mergeCell ref="F3:I3"/>
    <mergeCell ref="F17:F19"/>
    <mergeCell ref="G17:G19"/>
    <mergeCell ref="H10:H16"/>
    <mergeCell ref="A10:A16"/>
    <mergeCell ref="C10:C16"/>
    <mergeCell ref="D10:D16"/>
    <mergeCell ref="E3:E7"/>
    <mergeCell ref="C61:D61"/>
    <mergeCell ref="F61:H61"/>
    <mergeCell ref="E10:E16"/>
    <mergeCell ref="E17:E19"/>
    <mergeCell ref="E20:E21"/>
    <mergeCell ref="E25:E27"/>
    <mergeCell ref="D20:D21"/>
    <mergeCell ref="G25:G27"/>
    <mergeCell ref="H25:H27"/>
    <mergeCell ref="F10:F16"/>
  </mergeCells>
  <printOptions/>
  <pageMargins left="0.3937007874015748" right="0.3937007874015748" top="0.984251968503937" bottom="0.3937007874015748" header="0.2755905511811024" footer="0.2755905511811024"/>
  <pageSetup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O56"/>
  <sheetViews>
    <sheetView zoomScalePageLayoutView="0" workbookViewId="0" topLeftCell="A31">
      <selection activeCell="M64" sqref="M64"/>
    </sheetView>
  </sheetViews>
  <sheetFormatPr defaultColWidth="9.00390625" defaultRowHeight="12.75"/>
  <cols>
    <col min="2" max="2" width="7.875" style="0" customWidth="1"/>
    <col min="12" max="12" width="6.125" style="0" customWidth="1"/>
    <col min="14" max="14" width="5.875" style="0" customWidth="1"/>
  </cols>
  <sheetData>
    <row r="1" ht="18">
      <c r="A1" s="204" t="s">
        <v>405</v>
      </c>
    </row>
    <row r="3" ht="18">
      <c r="A3" s="204" t="s">
        <v>406</v>
      </c>
    </row>
    <row r="5" ht="18">
      <c r="A5" s="204" t="s">
        <v>407</v>
      </c>
    </row>
    <row r="7" ht="15">
      <c r="A7" s="204" t="s">
        <v>408</v>
      </c>
    </row>
    <row r="9" ht="15">
      <c r="A9" s="204" t="s">
        <v>409</v>
      </c>
    </row>
    <row r="10" ht="15">
      <c r="A10" s="204" t="s">
        <v>410</v>
      </c>
    </row>
    <row r="12" ht="15">
      <c r="A12" s="204" t="s">
        <v>411</v>
      </c>
    </row>
    <row r="14" ht="15">
      <c r="A14" s="204" t="s">
        <v>412</v>
      </c>
    </row>
    <row r="15" spans="1:15" ht="33.75" customHeight="1">
      <c r="A15" s="699" t="s">
        <v>817</v>
      </c>
      <c r="B15" s="698"/>
      <c r="C15" s="698"/>
      <c r="D15" s="698"/>
      <c r="E15" s="698"/>
      <c r="F15" s="698"/>
      <c r="G15" s="698"/>
      <c r="H15" s="698"/>
      <c r="I15" s="698"/>
      <c r="J15" s="698"/>
      <c r="K15" s="698"/>
      <c r="L15" s="698"/>
      <c r="M15" s="698"/>
      <c r="N15" s="698"/>
      <c r="O15" s="698"/>
    </row>
    <row r="17" ht="15">
      <c r="A17" s="204" t="s">
        <v>413</v>
      </c>
    </row>
    <row r="18" ht="15">
      <c r="A18" s="204" t="s">
        <v>414</v>
      </c>
    </row>
    <row r="20" ht="18">
      <c r="A20" s="204" t="s">
        <v>415</v>
      </c>
    </row>
    <row r="21" ht="15">
      <c r="A21" s="204" t="s">
        <v>416</v>
      </c>
    </row>
    <row r="22" ht="15">
      <c r="A22" s="204" t="s">
        <v>417</v>
      </c>
    </row>
    <row r="23" ht="15">
      <c r="A23" s="204" t="s">
        <v>418</v>
      </c>
    </row>
    <row r="25" ht="18">
      <c r="A25" s="204" t="s">
        <v>419</v>
      </c>
    </row>
    <row r="26" ht="15">
      <c r="A26" s="204" t="s">
        <v>420</v>
      </c>
    </row>
    <row r="27" ht="15">
      <c r="A27" s="204" t="s">
        <v>421</v>
      </c>
    </row>
    <row r="28" ht="15">
      <c r="A28" s="204" t="s">
        <v>422</v>
      </c>
    </row>
    <row r="30" ht="18">
      <c r="A30" s="204" t="s">
        <v>423</v>
      </c>
    </row>
    <row r="31" ht="15">
      <c r="A31" s="204" t="s">
        <v>424</v>
      </c>
    </row>
    <row r="32" ht="15">
      <c r="A32" s="204" t="s">
        <v>425</v>
      </c>
    </row>
    <row r="33" ht="15">
      <c r="A33" s="204" t="s">
        <v>426</v>
      </c>
    </row>
    <row r="35" spans="1:15" ht="41.25" customHeight="1">
      <c r="A35" s="697" t="s">
        <v>818</v>
      </c>
      <c r="B35" s="698"/>
      <c r="C35" s="698"/>
      <c r="D35" s="698"/>
      <c r="E35" s="698"/>
      <c r="F35" s="698"/>
      <c r="G35" s="698"/>
      <c r="H35" s="698"/>
      <c r="I35" s="698"/>
      <c r="J35" s="698"/>
      <c r="K35" s="698"/>
      <c r="L35" s="698"/>
      <c r="M35" s="698"/>
      <c r="N35" s="698"/>
      <c r="O35" s="698"/>
    </row>
    <row r="37" ht="17.25">
      <c r="A37" s="204" t="s">
        <v>427</v>
      </c>
    </row>
    <row r="39" spans="1:15" ht="82.5" customHeight="1">
      <c r="A39" s="697" t="s">
        <v>816</v>
      </c>
      <c r="B39" s="698"/>
      <c r="C39" s="698"/>
      <c r="D39" s="698"/>
      <c r="E39" s="698"/>
      <c r="F39" s="698"/>
      <c r="G39" s="698"/>
      <c r="H39" s="698"/>
      <c r="I39" s="698"/>
      <c r="J39" s="698"/>
      <c r="K39" s="698"/>
      <c r="L39" s="698"/>
      <c r="M39" s="698"/>
      <c r="N39" s="698"/>
      <c r="O39" s="698"/>
    </row>
    <row r="40" spans="1:15" ht="39" customHeight="1">
      <c r="A40" s="697" t="s">
        <v>819</v>
      </c>
      <c r="B40" s="698"/>
      <c r="C40" s="698"/>
      <c r="D40" s="698"/>
      <c r="E40" s="698"/>
      <c r="F40" s="698"/>
      <c r="G40" s="698"/>
      <c r="H40" s="698"/>
      <c r="I40" s="698"/>
      <c r="J40" s="698"/>
      <c r="K40" s="698"/>
      <c r="L40" s="698"/>
      <c r="M40" s="698"/>
      <c r="N40" s="698"/>
      <c r="O40" s="698"/>
    </row>
    <row r="42" spans="1:15" ht="187.5" customHeight="1">
      <c r="A42" s="697" t="s">
        <v>820</v>
      </c>
      <c r="B42" s="698"/>
      <c r="C42" s="698"/>
      <c r="D42" s="698"/>
      <c r="E42" s="698"/>
      <c r="F42" s="698"/>
      <c r="G42" s="698"/>
      <c r="H42" s="698"/>
      <c r="I42" s="698"/>
      <c r="J42" s="698"/>
      <c r="K42" s="698"/>
      <c r="L42" s="698"/>
      <c r="M42" s="698"/>
      <c r="N42" s="698"/>
      <c r="O42" s="698"/>
    </row>
    <row r="44" spans="1:15" ht="110.25" customHeight="1">
      <c r="A44" s="697" t="s">
        <v>822</v>
      </c>
      <c r="B44" s="698"/>
      <c r="C44" s="698"/>
      <c r="D44" s="698"/>
      <c r="E44" s="698"/>
      <c r="F44" s="698"/>
      <c r="G44" s="698"/>
      <c r="H44" s="698"/>
      <c r="I44" s="698"/>
      <c r="J44" s="698"/>
      <c r="K44" s="698"/>
      <c r="L44" s="698"/>
      <c r="M44" s="698"/>
      <c r="N44" s="698"/>
      <c r="O44" s="698"/>
    </row>
    <row r="46" spans="1:15" ht="36" customHeight="1">
      <c r="A46" s="697" t="s">
        <v>823</v>
      </c>
      <c r="B46" s="698"/>
      <c r="C46" s="698"/>
      <c r="D46" s="698"/>
      <c r="E46" s="698"/>
      <c r="F46" s="698"/>
      <c r="G46" s="698"/>
      <c r="H46" s="698"/>
      <c r="I46" s="698"/>
      <c r="J46" s="698"/>
      <c r="K46" s="698"/>
      <c r="L46" s="698"/>
      <c r="M46" s="698"/>
      <c r="N46" s="698"/>
      <c r="O46" s="698"/>
    </row>
    <row r="48" spans="1:15" ht="33" customHeight="1">
      <c r="A48" s="697" t="s">
        <v>821</v>
      </c>
      <c r="B48" s="698"/>
      <c r="C48" s="698"/>
      <c r="D48" s="698"/>
      <c r="E48" s="698"/>
      <c r="F48" s="698"/>
      <c r="G48" s="698"/>
      <c r="H48" s="698"/>
      <c r="I48" s="698"/>
      <c r="J48" s="698"/>
      <c r="K48" s="698"/>
      <c r="L48" s="698"/>
      <c r="M48" s="698"/>
      <c r="N48" s="698"/>
      <c r="O48" s="698"/>
    </row>
    <row r="50" ht="17.25">
      <c r="A50" s="204" t="s">
        <v>428</v>
      </c>
    </row>
    <row r="52" ht="17.25">
      <c r="A52" s="204" t="s">
        <v>429</v>
      </c>
    </row>
    <row r="54" ht="18">
      <c r="A54" s="204" t="s">
        <v>430</v>
      </c>
    </row>
    <row r="55" ht="15">
      <c r="A55" s="204" t="s">
        <v>431</v>
      </c>
    </row>
    <row r="56" ht="15">
      <c r="A56" s="204" t="s">
        <v>432</v>
      </c>
    </row>
  </sheetData>
  <sheetProtection/>
  <mergeCells count="8">
    <mergeCell ref="A35:O35"/>
    <mergeCell ref="A39:O39"/>
    <mergeCell ref="A15:O15"/>
    <mergeCell ref="A40:O40"/>
    <mergeCell ref="A42:O42"/>
    <mergeCell ref="A48:O48"/>
    <mergeCell ref="A44:O44"/>
    <mergeCell ref="A46:O4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48"/>
  <sheetViews>
    <sheetView zoomScalePageLayoutView="0" workbookViewId="0" topLeftCell="A35">
      <selection activeCell="A50" sqref="A50"/>
    </sheetView>
  </sheetViews>
  <sheetFormatPr defaultColWidth="9.00390625" defaultRowHeight="12.75"/>
  <cols>
    <col min="1" max="1" width="42.25390625" style="555" customWidth="1"/>
    <col min="2" max="2" width="9.125" style="478" customWidth="1"/>
    <col min="3" max="3" width="12.75390625" style="478" customWidth="1"/>
    <col min="4" max="4" width="11.25390625" style="157" customWidth="1"/>
    <col min="5" max="5" width="11.25390625" style="478" customWidth="1"/>
    <col min="6" max="6" width="17.25390625" style="375" customWidth="1"/>
    <col min="7" max="7" width="16.125" style="375" customWidth="1"/>
    <col min="8" max="8" width="13.75390625" style="603" customWidth="1"/>
    <col min="9" max="9" width="15.375" style="375" customWidth="1"/>
    <col min="10" max="10" width="18.875" style="548" customWidth="1"/>
    <col min="11" max="11" width="12.875" style="478" customWidth="1"/>
    <col min="12" max="12" width="33.25390625" style="478" customWidth="1"/>
    <col min="13" max="13" width="9.75390625" style="478" bestFit="1" customWidth="1"/>
    <col min="14" max="16384" width="9.125" style="478" customWidth="1"/>
  </cols>
  <sheetData>
    <row r="1" ht="15">
      <c r="H1" s="530" t="s">
        <v>538</v>
      </c>
    </row>
    <row r="3" ht="15">
      <c r="H3" s="602" t="s">
        <v>540</v>
      </c>
    </row>
    <row r="4" ht="15">
      <c r="H4" s="602" t="s">
        <v>541</v>
      </c>
    </row>
    <row r="5" ht="15">
      <c r="H5" s="602" t="s">
        <v>566</v>
      </c>
    </row>
    <row r="6" ht="15">
      <c r="H6" s="602" t="s">
        <v>567</v>
      </c>
    </row>
    <row r="7" ht="15">
      <c r="H7" s="602" t="s">
        <v>568</v>
      </c>
    </row>
    <row r="8" ht="15">
      <c r="H8" s="602" t="s">
        <v>569</v>
      </c>
    </row>
    <row r="10" ht="12.75">
      <c r="A10" s="556" t="s">
        <v>1038</v>
      </c>
    </row>
    <row r="12" spans="1:11" ht="15.75">
      <c r="A12" s="700" t="s">
        <v>1116</v>
      </c>
      <c r="B12" s="700"/>
      <c r="C12" s="700"/>
      <c r="D12" s="700"/>
      <c r="E12" s="700"/>
      <c r="F12" s="700"/>
      <c r="G12" s="700"/>
      <c r="H12" s="700"/>
      <c r="I12" s="700"/>
      <c r="J12" s="700"/>
      <c r="K12" s="700"/>
    </row>
    <row r="14" spans="1:10" s="403" customFormat="1" ht="12.75">
      <c r="A14" s="491"/>
      <c r="C14" s="403" t="s">
        <v>831</v>
      </c>
      <c r="F14" s="157"/>
      <c r="J14" s="549"/>
    </row>
    <row r="15" spans="4:5" ht="15">
      <c r="D15" s="514" t="s">
        <v>539</v>
      </c>
      <c r="E15" s="153"/>
    </row>
    <row r="16" ht="13.5" thickBot="1"/>
    <row r="17" spans="1:11" ht="153.75" thickBot="1">
      <c r="A17" s="557" t="s">
        <v>1039</v>
      </c>
      <c r="B17" s="517" t="s">
        <v>435</v>
      </c>
      <c r="C17" s="517" t="s">
        <v>436</v>
      </c>
      <c r="D17" s="386" t="s">
        <v>926</v>
      </c>
      <c r="E17" s="476" t="s">
        <v>836</v>
      </c>
      <c r="F17" s="377" t="s">
        <v>1011</v>
      </c>
      <c r="G17" s="542" t="s">
        <v>1028</v>
      </c>
      <c r="H17" s="535" t="s">
        <v>1017</v>
      </c>
      <c r="I17" s="376" t="s">
        <v>545</v>
      </c>
      <c r="J17" s="550" t="s">
        <v>1018</v>
      </c>
      <c r="K17" s="517" t="s">
        <v>437</v>
      </c>
    </row>
    <row r="18" spans="1:12" ht="13.5" thickBot="1">
      <c r="A18" s="558" t="s">
        <v>800</v>
      </c>
      <c r="B18" s="476" t="s">
        <v>438</v>
      </c>
      <c r="C18" s="476" t="s">
        <v>439</v>
      </c>
      <c r="D18" s="386" t="s">
        <v>191</v>
      </c>
      <c r="E18" s="476"/>
      <c r="F18" s="377" t="s">
        <v>1012</v>
      </c>
      <c r="G18" s="377" t="s">
        <v>580</v>
      </c>
      <c r="H18" s="518" t="s">
        <v>581</v>
      </c>
      <c r="I18" s="377" t="s">
        <v>917</v>
      </c>
      <c r="J18" s="532" t="s">
        <v>1019</v>
      </c>
      <c r="K18" s="476" t="s">
        <v>440</v>
      </c>
      <c r="L18" s="554"/>
    </row>
    <row r="19" spans="1:11" ht="26.25" thickBot="1">
      <c r="A19" s="559" t="s">
        <v>1040</v>
      </c>
      <c r="B19" s="475" t="s">
        <v>441</v>
      </c>
      <c r="C19" s="476" t="s">
        <v>442</v>
      </c>
      <c r="D19" s="386"/>
      <c r="E19" s="477"/>
      <c r="F19" s="377">
        <f>G19+I19+J19</f>
        <v>27644008.110000003</v>
      </c>
      <c r="G19" s="377">
        <v>70195.16</v>
      </c>
      <c r="H19" s="518"/>
      <c r="I19" s="377">
        <v>27324258.6</v>
      </c>
      <c r="J19" s="532">
        <v>249554.35</v>
      </c>
      <c r="K19" s="477"/>
    </row>
    <row r="20" spans="1:11" ht="14.25" thickBot="1">
      <c r="A20" s="559" t="s">
        <v>1041</v>
      </c>
      <c r="B20" s="475" t="s">
        <v>443</v>
      </c>
      <c r="C20" s="476" t="s">
        <v>442</v>
      </c>
      <c r="D20" s="386"/>
      <c r="E20" s="477"/>
      <c r="F20" s="474"/>
      <c r="G20" s="474"/>
      <c r="H20" s="604"/>
      <c r="I20" s="474"/>
      <c r="J20" s="532"/>
      <c r="K20" s="477"/>
    </row>
    <row r="21" spans="1:12" ht="13.5" thickBot="1">
      <c r="A21" s="560" t="s">
        <v>1042</v>
      </c>
      <c r="B21" s="475" t="s">
        <v>444</v>
      </c>
      <c r="C21" s="519"/>
      <c r="D21" s="386"/>
      <c r="E21" s="477"/>
      <c r="F21" s="377">
        <f>G21+H21+I21+J21</f>
        <v>342008818.87</v>
      </c>
      <c r="G21" s="377">
        <f>G25</f>
        <v>2458130</v>
      </c>
      <c r="H21" s="377">
        <f>H36+H37</f>
        <v>1078917.82</v>
      </c>
      <c r="I21" s="377">
        <f>I26</f>
        <v>336858500</v>
      </c>
      <c r="J21" s="532">
        <f>J22+J27+J33+J34+J38+J39+J44+J45</f>
        <v>1613271.05</v>
      </c>
      <c r="K21" s="477"/>
      <c r="L21" s="554"/>
    </row>
    <row r="22" spans="1:11" ht="13.5" thickBot="1">
      <c r="A22" s="559" t="s">
        <v>1043</v>
      </c>
      <c r="B22" s="475" t="s">
        <v>445</v>
      </c>
      <c r="C22" s="476" t="s">
        <v>446</v>
      </c>
      <c r="D22" s="386"/>
      <c r="E22" s="477"/>
      <c r="F22" s="377">
        <f>J22</f>
        <v>170000</v>
      </c>
      <c r="G22" s="377"/>
      <c r="H22" s="518"/>
      <c r="I22" s="377"/>
      <c r="J22" s="532">
        <v>170000</v>
      </c>
      <c r="K22" s="477"/>
    </row>
    <row r="23" spans="1:11" ht="13.5" thickBot="1">
      <c r="A23" s="560" t="s">
        <v>1044</v>
      </c>
      <c r="B23" s="475" t="s">
        <v>447</v>
      </c>
      <c r="C23" s="519"/>
      <c r="D23" s="386"/>
      <c r="E23" s="477"/>
      <c r="F23" s="377"/>
      <c r="G23" s="377"/>
      <c r="H23" s="518"/>
      <c r="I23" s="377"/>
      <c r="J23" s="532"/>
      <c r="K23" s="477"/>
    </row>
    <row r="24" spans="1:11" ht="24.75" thickBot="1">
      <c r="A24" s="381" t="s">
        <v>26</v>
      </c>
      <c r="B24" s="475" t="s">
        <v>448</v>
      </c>
      <c r="C24" s="476" t="s">
        <v>449</v>
      </c>
      <c r="D24" s="386"/>
      <c r="E24" s="477"/>
      <c r="F24" s="377">
        <f>J24</f>
        <v>0</v>
      </c>
      <c r="G24" s="377"/>
      <c r="H24" s="518"/>
      <c r="I24" s="377"/>
      <c r="J24" s="532"/>
      <c r="K24" s="477"/>
    </row>
    <row r="25" spans="1:12" ht="48.75" thickBot="1">
      <c r="A25" s="381" t="s">
        <v>1013</v>
      </c>
      <c r="B25" s="475" t="s">
        <v>450</v>
      </c>
      <c r="C25" s="476" t="s">
        <v>449</v>
      </c>
      <c r="D25" s="386"/>
      <c r="E25" s="477"/>
      <c r="F25" s="377">
        <f>G25</f>
        <v>2458130</v>
      </c>
      <c r="G25" s="377">
        <f>2442930+15200</f>
        <v>2458130</v>
      </c>
      <c r="H25" s="518"/>
      <c r="J25" s="532"/>
      <c r="K25" s="477"/>
      <c r="L25" s="554"/>
    </row>
    <row r="26" spans="1:11" ht="48.75" thickBot="1">
      <c r="A26" s="559" t="s">
        <v>1045</v>
      </c>
      <c r="B26" s="475" t="s">
        <v>451</v>
      </c>
      <c r="C26" s="476" t="s">
        <v>449</v>
      </c>
      <c r="D26" s="386"/>
      <c r="E26" s="477"/>
      <c r="F26" s="377">
        <f>I26</f>
        <v>336858500</v>
      </c>
      <c r="G26" s="377"/>
      <c r="H26" s="518"/>
      <c r="I26" s="377">
        <v>336858500</v>
      </c>
      <c r="J26" s="532"/>
      <c r="K26" s="477"/>
    </row>
    <row r="27" spans="1:11" ht="24.75" thickBot="1">
      <c r="A27" s="561" t="s">
        <v>1110</v>
      </c>
      <c r="B27" s="475" t="s">
        <v>452</v>
      </c>
      <c r="C27" s="476" t="s">
        <v>449</v>
      </c>
      <c r="D27" s="386"/>
      <c r="E27" s="477"/>
      <c r="F27" s="377">
        <f>J27</f>
        <v>1025571.05</v>
      </c>
      <c r="G27" s="377"/>
      <c r="H27" s="518"/>
      <c r="I27" s="377"/>
      <c r="J27" s="532">
        <f>J28+J29</f>
        <v>1025571.05</v>
      </c>
      <c r="K27" s="477"/>
    </row>
    <row r="28" spans="1:11" ht="13.5" thickBot="1">
      <c r="A28" s="561" t="s">
        <v>1109</v>
      </c>
      <c r="B28" s="475">
        <v>1231</v>
      </c>
      <c r="C28" s="476" t="s">
        <v>449</v>
      </c>
      <c r="D28" s="386">
        <v>131</v>
      </c>
      <c r="E28" s="477"/>
      <c r="F28" s="377"/>
      <c r="G28" s="377"/>
      <c r="H28" s="518"/>
      <c r="I28" s="377"/>
      <c r="J28" s="532">
        <f>820571.05+180000</f>
        <v>1000571.05</v>
      </c>
      <c r="K28" s="477"/>
    </row>
    <row r="29" spans="1:11" ht="13.5" thickBot="1">
      <c r="A29" s="561" t="s">
        <v>1111</v>
      </c>
      <c r="B29" s="475">
        <v>1232</v>
      </c>
      <c r="C29" s="476" t="s">
        <v>449</v>
      </c>
      <c r="D29" s="386">
        <v>134</v>
      </c>
      <c r="E29" s="477"/>
      <c r="F29" s="377"/>
      <c r="G29" s="377"/>
      <c r="H29" s="518"/>
      <c r="I29" s="377"/>
      <c r="J29" s="532">
        <f>10000+15000</f>
        <v>25000</v>
      </c>
      <c r="K29" s="477"/>
    </row>
    <row r="30" spans="1:11" ht="48.75" thickBot="1">
      <c r="A30" s="559" t="s">
        <v>1046</v>
      </c>
      <c r="B30" s="475" t="s">
        <v>453</v>
      </c>
      <c r="C30" s="476" t="s">
        <v>449</v>
      </c>
      <c r="D30" s="386"/>
      <c r="E30" s="477"/>
      <c r="F30" s="377"/>
      <c r="G30" s="377"/>
      <c r="H30" s="518"/>
      <c r="I30" s="377"/>
      <c r="J30" s="532"/>
      <c r="K30" s="477"/>
    </row>
    <row r="31" spans="1:11" ht="24.75" thickBot="1">
      <c r="A31" s="559" t="s">
        <v>1047</v>
      </c>
      <c r="B31" s="475" t="s">
        <v>454</v>
      </c>
      <c r="C31" s="476" t="s">
        <v>449</v>
      </c>
      <c r="D31" s="386"/>
      <c r="E31" s="477"/>
      <c r="F31" s="377"/>
      <c r="G31" s="377"/>
      <c r="H31" s="518"/>
      <c r="I31" s="377"/>
      <c r="J31" s="532"/>
      <c r="K31" s="477"/>
    </row>
    <row r="32" spans="1:11" ht="24.75" thickBot="1">
      <c r="A32" s="381" t="s">
        <v>29</v>
      </c>
      <c r="B32" s="475" t="s">
        <v>455</v>
      </c>
      <c r="C32" s="476" t="s">
        <v>456</v>
      </c>
      <c r="D32" s="386"/>
      <c r="E32" s="477"/>
      <c r="F32" s="377"/>
      <c r="G32" s="377"/>
      <c r="H32" s="518"/>
      <c r="I32" s="377"/>
      <c r="J32" s="532"/>
      <c r="K32" s="477"/>
    </row>
    <row r="33" spans="1:12" ht="36.75" thickBot="1">
      <c r="A33" s="381" t="s">
        <v>1112</v>
      </c>
      <c r="B33" s="475" t="s">
        <v>457</v>
      </c>
      <c r="C33" s="476" t="s">
        <v>456</v>
      </c>
      <c r="D33" s="386">
        <v>141</v>
      </c>
      <c r="E33" s="477"/>
      <c r="F33" s="377">
        <f>J33</f>
        <v>85000</v>
      </c>
      <c r="G33" s="377"/>
      <c r="H33" s="518"/>
      <c r="I33" s="377"/>
      <c r="J33" s="532">
        <f>45000+40000</f>
        <v>85000</v>
      </c>
      <c r="K33" s="477"/>
      <c r="L33" s="554"/>
    </row>
    <row r="34" spans="1:11" ht="13.5" thickBot="1">
      <c r="A34" s="559" t="s">
        <v>1048</v>
      </c>
      <c r="B34" s="475" t="s">
        <v>458</v>
      </c>
      <c r="C34" s="476" t="s">
        <v>459</v>
      </c>
      <c r="D34" s="386"/>
      <c r="E34" s="477"/>
      <c r="F34" s="377">
        <f>J34</f>
        <v>95000</v>
      </c>
      <c r="G34" s="377"/>
      <c r="H34" s="518"/>
      <c r="I34" s="377"/>
      <c r="J34" s="532">
        <f>J36+J37</f>
        <v>95000</v>
      </c>
      <c r="K34" s="477"/>
    </row>
    <row r="35" spans="1:11" ht="13.5" thickBot="1">
      <c r="A35" s="559" t="s">
        <v>1049</v>
      </c>
      <c r="B35" s="475" t="s">
        <v>460</v>
      </c>
      <c r="C35" s="476" t="s">
        <v>459</v>
      </c>
      <c r="D35" s="386"/>
      <c r="E35" s="477"/>
      <c r="F35" s="377"/>
      <c r="G35" s="377"/>
      <c r="H35" s="518"/>
      <c r="I35" s="377"/>
      <c r="J35" s="532"/>
      <c r="K35" s="477"/>
    </row>
    <row r="36" spans="1:11" ht="36.75" thickBot="1">
      <c r="A36" s="466" t="s">
        <v>1036</v>
      </c>
      <c r="B36" s="475">
        <v>1410</v>
      </c>
      <c r="C36" s="476">
        <v>150</v>
      </c>
      <c r="D36" s="386">
        <v>155</v>
      </c>
      <c r="E36" s="477"/>
      <c r="F36" s="377">
        <f>H36</f>
        <v>1078917.82</v>
      </c>
      <c r="G36" s="377"/>
      <c r="H36" s="377">
        <f>317036+489670+272211.82</f>
        <v>1078917.82</v>
      </c>
      <c r="I36" s="377"/>
      <c r="J36" s="532">
        <f>100300-5300</f>
        <v>95000</v>
      </c>
      <c r="K36" s="477"/>
    </row>
    <row r="37" spans="1:11" ht="13.5" thickBot="1">
      <c r="A37" s="559" t="s">
        <v>1050</v>
      </c>
      <c r="B37" s="475" t="s">
        <v>461</v>
      </c>
      <c r="C37" s="476" t="s">
        <v>459</v>
      </c>
      <c r="D37" s="386"/>
      <c r="E37" s="477"/>
      <c r="F37" s="377">
        <f>H37</f>
        <v>0</v>
      </c>
      <c r="G37" s="377"/>
      <c r="H37" s="377"/>
      <c r="I37" s="377"/>
      <c r="J37" s="532"/>
      <c r="K37" s="477"/>
    </row>
    <row r="38" spans="1:11" ht="45" customHeight="1" thickBot="1">
      <c r="A38" s="381" t="s">
        <v>1037</v>
      </c>
      <c r="B38" s="475">
        <v>1500</v>
      </c>
      <c r="C38" s="476">
        <v>160</v>
      </c>
      <c r="D38" s="386">
        <v>165</v>
      </c>
      <c r="E38" s="477"/>
      <c r="F38" s="377">
        <f>J38</f>
        <v>175000</v>
      </c>
      <c r="G38" s="377"/>
      <c r="H38" s="518"/>
      <c r="I38" s="377"/>
      <c r="J38" s="532">
        <f>169700+5300</f>
        <v>175000</v>
      </c>
      <c r="K38" s="477"/>
    </row>
    <row r="39" spans="1:11" ht="18" customHeight="1" thickBot="1">
      <c r="A39" s="381" t="s">
        <v>1009</v>
      </c>
      <c r="B39" s="475">
        <v>1600</v>
      </c>
      <c r="C39" s="476">
        <v>180</v>
      </c>
      <c r="D39" s="386"/>
      <c r="E39" s="477"/>
      <c r="F39" s="377">
        <f>J39</f>
        <v>100</v>
      </c>
      <c r="G39" s="377"/>
      <c r="H39" s="518"/>
      <c r="I39" s="377"/>
      <c r="J39" s="532">
        <v>100</v>
      </c>
      <c r="K39" s="477"/>
    </row>
    <row r="40" spans="1:11" ht="13.5" thickBot="1">
      <c r="A40" s="560" t="s">
        <v>1051</v>
      </c>
      <c r="B40" s="475">
        <v>1600</v>
      </c>
      <c r="C40" s="476" t="s">
        <v>462</v>
      </c>
      <c r="D40" s="386"/>
      <c r="E40" s="477"/>
      <c r="F40" s="377"/>
      <c r="G40" s="377"/>
      <c r="H40" s="518"/>
      <c r="I40" s="377"/>
      <c r="J40" s="532"/>
      <c r="K40" s="477"/>
    </row>
    <row r="41" spans="1:11" ht="13.5" thickBot="1">
      <c r="A41" s="560" t="s">
        <v>1044</v>
      </c>
      <c r="B41" s="475">
        <v>1610</v>
      </c>
      <c r="C41" s="476" t="s">
        <v>462</v>
      </c>
      <c r="D41" s="386"/>
      <c r="E41" s="477"/>
      <c r="F41" s="377"/>
      <c r="G41" s="377"/>
      <c r="H41" s="518"/>
      <c r="I41" s="377"/>
      <c r="J41" s="532"/>
      <c r="K41" s="477"/>
    </row>
    <row r="42" spans="1:11" ht="13.5" thickBot="1">
      <c r="A42" s="560" t="s">
        <v>1052</v>
      </c>
      <c r="B42" s="475">
        <v>1620</v>
      </c>
      <c r="C42" s="476" t="s">
        <v>462</v>
      </c>
      <c r="D42" s="386"/>
      <c r="E42" s="477"/>
      <c r="F42" s="377"/>
      <c r="G42" s="377"/>
      <c r="H42" s="518"/>
      <c r="I42" s="377"/>
      <c r="J42" s="532"/>
      <c r="K42" s="477"/>
    </row>
    <row r="43" spans="1:11" ht="13.5" thickBot="1">
      <c r="A43" s="559" t="s">
        <v>1050</v>
      </c>
      <c r="B43" s="520"/>
      <c r="C43" s="519"/>
      <c r="D43" s="386"/>
      <c r="E43" s="477"/>
      <c r="F43" s="377"/>
      <c r="G43" s="377"/>
      <c r="H43" s="518"/>
      <c r="I43" s="377"/>
      <c r="J43" s="532"/>
      <c r="K43" s="477"/>
    </row>
    <row r="44" spans="1:11" ht="13.5" thickBot="1">
      <c r="A44" s="381" t="s">
        <v>1035</v>
      </c>
      <c r="B44" s="475">
        <v>1900</v>
      </c>
      <c r="C44" s="476">
        <v>400</v>
      </c>
      <c r="D44" s="386">
        <v>440</v>
      </c>
      <c r="E44" s="477"/>
      <c r="F44" s="377">
        <f>J44</f>
        <v>55000</v>
      </c>
      <c r="G44" s="377"/>
      <c r="H44" s="518"/>
      <c r="I44" s="377"/>
      <c r="J44" s="532">
        <f>45000+10000</f>
        <v>55000</v>
      </c>
      <c r="K44" s="477"/>
    </row>
    <row r="45" spans="1:11" s="390" customFormat="1" ht="13.5" thickBot="1">
      <c r="A45" s="381" t="s">
        <v>1007</v>
      </c>
      <c r="B45" s="521"/>
      <c r="C45" s="386">
        <v>510</v>
      </c>
      <c r="D45" s="386"/>
      <c r="E45" s="388"/>
      <c r="F45" s="387">
        <f>J45</f>
        <v>7600</v>
      </c>
      <c r="G45" s="387"/>
      <c r="H45" s="386"/>
      <c r="I45" s="387"/>
      <c r="J45" s="551">
        <v>7600</v>
      </c>
      <c r="K45" s="388"/>
    </row>
    <row r="46" spans="1:13" s="525" customFormat="1" ht="13.5" thickBot="1">
      <c r="A46" s="562" t="s">
        <v>1053</v>
      </c>
      <c r="B46" s="523" t="s">
        <v>837</v>
      </c>
      <c r="C46" s="524" t="s">
        <v>838</v>
      </c>
      <c r="D46" s="398"/>
      <c r="E46" s="522"/>
      <c r="F46" s="377">
        <f>G46+H46+I46+J46</f>
        <v>369652826.97999996</v>
      </c>
      <c r="G46" s="308">
        <f>G47+G68+G70+G92+G94+G95+G96+G97+G99+G100+G101+G108+G109+G111+G113+G114+G115+G117+G118+G119+G120</f>
        <v>2528325.16</v>
      </c>
      <c r="H46" s="308">
        <f>H49+H50+H53+H101+H103+H119</f>
        <v>1078917.82</v>
      </c>
      <c r="I46" s="308">
        <f>I47+I68+I70+I92+I94+I96+I98+I99+I101+I102+I104+I107+I108+I109+I111+I113+I114+I115+I116+I117+I119+I122</f>
        <v>364182758.59999996</v>
      </c>
      <c r="J46" s="552">
        <f>J47+J68+J70+J94+J96+J99+J101+J104+J111+J113+J114+J119+J122</f>
        <v>1862825.4</v>
      </c>
      <c r="K46" s="537"/>
      <c r="L46" s="547"/>
      <c r="M46" s="547"/>
    </row>
    <row r="47" spans="1:12" ht="13.5" thickBot="1">
      <c r="A47" s="559" t="s">
        <v>1054</v>
      </c>
      <c r="B47" s="475" t="s">
        <v>465</v>
      </c>
      <c r="C47" s="476" t="s">
        <v>464</v>
      </c>
      <c r="D47" s="386"/>
      <c r="E47" s="477"/>
      <c r="F47" s="377">
        <f aca="true" t="shared" si="0" ref="F47:F111">G47+I47+J47</f>
        <v>273212373.98</v>
      </c>
      <c r="G47" s="377">
        <f>G48+G49+G52+G53</f>
        <v>1781155.98</v>
      </c>
      <c r="H47" s="518"/>
      <c r="I47" s="377">
        <f>I48+I51+I52</f>
        <v>270997020</v>
      </c>
      <c r="J47" s="532">
        <f>J48+J52</f>
        <v>434198</v>
      </c>
      <c r="K47" s="477"/>
      <c r="L47" s="554"/>
    </row>
    <row r="48" spans="1:11" ht="13.5" thickBot="1">
      <c r="A48" s="559" t="s">
        <v>1055</v>
      </c>
      <c r="B48" s="475" t="s">
        <v>466</v>
      </c>
      <c r="C48" s="476" t="s">
        <v>467</v>
      </c>
      <c r="D48" s="386">
        <v>211</v>
      </c>
      <c r="E48" s="506" t="s">
        <v>824</v>
      </c>
      <c r="F48" s="377">
        <f t="shared" si="0"/>
        <v>209642000</v>
      </c>
      <c r="G48" s="377">
        <f>1200000-18664</f>
        <v>1181336</v>
      </c>
      <c r="I48" s="377">
        <v>208123664</v>
      </c>
      <c r="J48" s="532">
        <f>197000+140000</f>
        <v>337000</v>
      </c>
      <c r="K48" s="477"/>
    </row>
    <row r="49" spans="1:11" ht="13.5" thickBot="1">
      <c r="A49" s="381" t="s">
        <v>323</v>
      </c>
      <c r="B49" s="475" t="s">
        <v>466</v>
      </c>
      <c r="C49" s="476" t="s">
        <v>467</v>
      </c>
      <c r="D49" s="386">
        <v>211</v>
      </c>
      <c r="E49" s="506" t="s">
        <v>825</v>
      </c>
      <c r="F49" s="377">
        <f t="shared" si="0"/>
        <v>186680</v>
      </c>
      <c r="G49" s="377">
        <v>186680</v>
      </c>
      <c r="H49" s="518">
        <v>113950.72</v>
      </c>
      <c r="I49" s="377"/>
      <c r="J49" s="532"/>
      <c r="K49" s="477"/>
    </row>
    <row r="50" spans="1:11" ht="24.75" thickBot="1">
      <c r="A50" s="381" t="s">
        <v>324</v>
      </c>
      <c r="B50" s="475" t="s">
        <v>468</v>
      </c>
      <c r="C50" s="476" t="s">
        <v>469</v>
      </c>
      <c r="D50" s="386">
        <v>212</v>
      </c>
      <c r="E50" s="506" t="s">
        <v>825</v>
      </c>
      <c r="F50" s="377">
        <f t="shared" si="0"/>
        <v>0</v>
      </c>
      <c r="G50" s="377"/>
      <c r="H50" s="377">
        <v>85400</v>
      </c>
      <c r="I50" s="377"/>
      <c r="J50" s="532"/>
      <c r="K50" s="477"/>
    </row>
    <row r="51" spans="1:11" ht="24.75" thickBot="1">
      <c r="A51" s="559" t="s">
        <v>1056</v>
      </c>
      <c r="B51" s="475" t="s">
        <v>468</v>
      </c>
      <c r="C51" s="476" t="s">
        <v>469</v>
      </c>
      <c r="D51" s="386">
        <v>212</v>
      </c>
      <c r="E51" s="506" t="s">
        <v>824</v>
      </c>
      <c r="F51" s="377">
        <f t="shared" si="0"/>
        <v>20000</v>
      </c>
      <c r="G51" s="377"/>
      <c r="H51" s="518"/>
      <c r="I51" s="377">
        <v>20000</v>
      </c>
      <c r="J51" s="532"/>
      <c r="K51" s="477"/>
    </row>
    <row r="52" spans="1:11" ht="36.75" thickBot="1">
      <c r="A52" s="381" t="s">
        <v>325</v>
      </c>
      <c r="B52" s="475" t="s">
        <v>470</v>
      </c>
      <c r="C52" s="476" t="s">
        <v>471</v>
      </c>
      <c r="D52" s="386">
        <v>213</v>
      </c>
      <c r="E52" s="505"/>
      <c r="F52" s="377">
        <f t="shared" si="0"/>
        <v>63307318</v>
      </c>
      <c r="G52" s="377">
        <f>362400-5636</f>
        <v>356764</v>
      </c>
      <c r="H52" s="518"/>
      <c r="I52" s="377">
        <v>62853356</v>
      </c>
      <c r="J52" s="532">
        <f>57198+40000</f>
        <v>97198</v>
      </c>
      <c r="K52" s="477"/>
    </row>
    <row r="53" spans="1:11" ht="36.75" thickBot="1">
      <c r="A53" s="381" t="s">
        <v>325</v>
      </c>
      <c r="B53" s="475" t="s">
        <v>470</v>
      </c>
      <c r="C53" s="476" t="s">
        <v>471</v>
      </c>
      <c r="D53" s="386">
        <v>213</v>
      </c>
      <c r="E53" s="506" t="s">
        <v>825</v>
      </c>
      <c r="F53" s="377">
        <f t="shared" si="0"/>
        <v>56375.98</v>
      </c>
      <c r="G53" s="377">
        <v>56375.98</v>
      </c>
      <c r="H53" s="613">
        <f>H55</f>
        <v>34413.1</v>
      </c>
      <c r="I53" s="377"/>
      <c r="J53" s="532"/>
      <c r="K53" s="477"/>
    </row>
    <row r="54" spans="1:11" ht="13.5" thickBot="1">
      <c r="A54" s="559" t="s">
        <v>1057</v>
      </c>
      <c r="B54" s="475" t="s">
        <v>472</v>
      </c>
      <c r="C54" s="476" t="s">
        <v>471</v>
      </c>
      <c r="D54" s="386"/>
      <c r="E54" s="477"/>
      <c r="F54" s="377">
        <f t="shared" si="0"/>
        <v>0</v>
      </c>
      <c r="G54" s="377"/>
      <c r="H54" s="518"/>
      <c r="I54" s="377"/>
      <c r="J54" s="532"/>
      <c r="K54" s="477"/>
    </row>
    <row r="55" spans="1:11" ht="13.5" thickBot="1">
      <c r="A55" s="559" t="s">
        <v>1058</v>
      </c>
      <c r="B55" s="475" t="s">
        <v>473</v>
      </c>
      <c r="C55" s="476" t="s">
        <v>471</v>
      </c>
      <c r="D55" s="386"/>
      <c r="E55" s="477"/>
      <c r="F55" s="377">
        <f t="shared" si="0"/>
        <v>0</v>
      </c>
      <c r="G55" s="377"/>
      <c r="H55" s="613">
        <v>34413.1</v>
      </c>
      <c r="I55" s="377"/>
      <c r="J55" s="532"/>
      <c r="K55" s="477"/>
    </row>
    <row r="56" spans="1:11" ht="24.75" thickBot="1">
      <c r="A56" s="559" t="s">
        <v>1059</v>
      </c>
      <c r="B56" s="475" t="s">
        <v>474</v>
      </c>
      <c r="C56" s="476" t="s">
        <v>475</v>
      </c>
      <c r="D56" s="386"/>
      <c r="E56" s="477"/>
      <c r="F56" s="377">
        <f t="shared" si="0"/>
        <v>0</v>
      </c>
      <c r="G56" s="377"/>
      <c r="H56" s="518"/>
      <c r="I56" s="377"/>
      <c r="J56" s="532"/>
      <c r="K56" s="477"/>
    </row>
    <row r="57" spans="1:11" ht="36.75" thickBot="1">
      <c r="A57" s="559" t="s">
        <v>1060</v>
      </c>
      <c r="B57" s="475" t="s">
        <v>476</v>
      </c>
      <c r="C57" s="476" t="s">
        <v>477</v>
      </c>
      <c r="D57" s="386"/>
      <c r="E57" s="477"/>
      <c r="F57" s="377">
        <f t="shared" si="0"/>
        <v>0</v>
      </c>
      <c r="G57" s="377"/>
      <c r="H57" s="518"/>
      <c r="I57" s="377"/>
      <c r="J57" s="532"/>
      <c r="K57" s="477"/>
    </row>
    <row r="58" spans="1:11" ht="24.75" thickBot="1">
      <c r="A58" s="559" t="s">
        <v>1061</v>
      </c>
      <c r="B58" s="475" t="s">
        <v>478</v>
      </c>
      <c r="C58" s="476" t="s">
        <v>479</v>
      </c>
      <c r="D58" s="386"/>
      <c r="E58" s="477"/>
      <c r="F58" s="377">
        <f t="shared" si="0"/>
        <v>0</v>
      </c>
      <c r="G58" s="377"/>
      <c r="H58" s="518" t="s">
        <v>918</v>
      </c>
      <c r="I58" s="377"/>
      <c r="J58" s="532"/>
      <c r="K58" s="477"/>
    </row>
    <row r="59" spans="1:11" ht="36.75" thickBot="1">
      <c r="A59" s="559" t="s">
        <v>1062</v>
      </c>
      <c r="B59" s="475" t="s">
        <v>480</v>
      </c>
      <c r="C59" s="476" t="s">
        <v>481</v>
      </c>
      <c r="D59" s="386"/>
      <c r="E59" s="477"/>
      <c r="F59" s="377">
        <f t="shared" si="0"/>
        <v>0</v>
      </c>
      <c r="G59" s="377"/>
      <c r="H59" s="518"/>
      <c r="I59" s="377"/>
      <c r="J59" s="532"/>
      <c r="K59" s="477"/>
    </row>
    <row r="60" spans="1:11" ht="13.5" thickBot="1">
      <c r="A60" s="381" t="s">
        <v>329</v>
      </c>
      <c r="B60" s="475" t="s">
        <v>482</v>
      </c>
      <c r="C60" s="476" t="s">
        <v>481</v>
      </c>
      <c r="D60" s="386"/>
      <c r="E60" s="477"/>
      <c r="F60" s="377">
        <f t="shared" si="0"/>
        <v>0</v>
      </c>
      <c r="G60" s="377"/>
      <c r="H60" s="518"/>
      <c r="I60" s="377"/>
      <c r="J60" s="532"/>
      <c r="K60" s="477"/>
    </row>
    <row r="61" spans="1:11" ht="24.75" thickBot="1">
      <c r="A61" s="559" t="s">
        <v>1063</v>
      </c>
      <c r="B61" s="475" t="s">
        <v>483</v>
      </c>
      <c r="C61" s="476" t="s">
        <v>481</v>
      </c>
      <c r="D61" s="386"/>
      <c r="E61" s="477"/>
      <c r="F61" s="377">
        <f t="shared" si="0"/>
        <v>0</v>
      </c>
      <c r="G61" s="377"/>
      <c r="H61" s="518"/>
      <c r="I61" s="377"/>
      <c r="J61" s="532"/>
      <c r="K61" s="477"/>
    </row>
    <row r="62" spans="1:11" ht="13.5" thickBot="1">
      <c r="A62" s="559" t="s">
        <v>1064</v>
      </c>
      <c r="B62" s="475" t="s">
        <v>484</v>
      </c>
      <c r="C62" s="476" t="s">
        <v>485</v>
      </c>
      <c r="D62" s="386"/>
      <c r="E62" s="477"/>
      <c r="F62" s="377">
        <f t="shared" si="0"/>
        <v>0</v>
      </c>
      <c r="G62" s="377"/>
      <c r="H62" s="518"/>
      <c r="I62" s="377"/>
      <c r="J62" s="532"/>
      <c r="K62" s="477"/>
    </row>
    <row r="63" spans="1:11" ht="24.75" thickBot="1">
      <c r="A63" s="559" t="s">
        <v>1065</v>
      </c>
      <c r="B63" s="475" t="s">
        <v>486</v>
      </c>
      <c r="C63" s="476" t="s">
        <v>487</v>
      </c>
      <c r="D63" s="386"/>
      <c r="E63" s="477"/>
      <c r="F63" s="377">
        <f t="shared" si="0"/>
        <v>0</v>
      </c>
      <c r="G63" s="377"/>
      <c r="H63" s="518"/>
      <c r="I63" s="377"/>
      <c r="J63" s="532"/>
      <c r="K63" s="477"/>
    </row>
    <row r="64" spans="1:11" ht="36.75" thickBot="1">
      <c r="A64" s="559" t="s">
        <v>1066</v>
      </c>
      <c r="B64" s="475" t="s">
        <v>488</v>
      </c>
      <c r="C64" s="476" t="s">
        <v>489</v>
      </c>
      <c r="D64" s="386"/>
      <c r="E64" s="477"/>
      <c r="F64" s="377">
        <f t="shared" si="0"/>
        <v>0</v>
      </c>
      <c r="G64" s="377"/>
      <c r="H64" s="518"/>
      <c r="I64" s="377"/>
      <c r="J64" s="532"/>
      <c r="K64" s="477"/>
    </row>
    <row r="65" spans="1:11" ht="36.75" thickBot="1">
      <c r="A65" s="559" t="s">
        <v>1067</v>
      </c>
      <c r="B65" s="475" t="s">
        <v>490</v>
      </c>
      <c r="C65" s="476" t="s">
        <v>491</v>
      </c>
      <c r="D65" s="386"/>
      <c r="E65" s="477"/>
      <c r="F65" s="377">
        <f t="shared" si="0"/>
        <v>0</v>
      </c>
      <c r="G65" s="377"/>
      <c r="H65" s="518"/>
      <c r="I65" s="377"/>
      <c r="J65" s="532"/>
      <c r="K65" s="477"/>
    </row>
    <row r="66" spans="1:11" ht="60.75" thickBot="1">
      <c r="A66" s="381" t="s">
        <v>536</v>
      </c>
      <c r="B66" s="475" t="s">
        <v>492</v>
      </c>
      <c r="C66" s="476" t="s">
        <v>493</v>
      </c>
      <c r="D66" s="386"/>
      <c r="E66" s="477"/>
      <c r="F66" s="377">
        <f t="shared" si="0"/>
        <v>0</v>
      </c>
      <c r="G66" s="377"/>
      <c r="H66" s="518"/>
      <c r="I66" s="377"/>
      <c r="J66" s="532"/>
      <c r="K66" s="477"/>
    </row>
    <row r="67" spans="1:11" ht="13.5" thickBot="1">
      <c r="A67" s="559" t="s">
        <v>1068</v>
      </c>
      <c r="B67" s="475" t="s">
        <v>494</v>
      </c>
      <c r="C67" s="476" t="s">
        <v>495</v>
      </c>
      <c r="D67" s="386"/>
      <c r="E67" s="477"/>
      <c r="F67" s="377">
        <f t="shared" si="0"/>
        <v>0</v>
      </c>
      <c r="G67" s="377"/>
      <c r="H67" s="518"/>
      <c r="I67" s="377"/>
      <c r="J67" s="532"/>
      <c r="K67" s="477"/>
    </row>
    <row r="68" spans="1:11" s="525" customFormat="1" ht="13.5" thickBot="1">
      <c r="A68" s="494" t="s">
        <v>947</v>
      </c>
      <c r="B68" s="523"/>
      <c r="C68" s="524">
        <v>830</v>
      </c>
      <c r="D68" s="398"/>
      <c r="E68" s="522"/>
      <c r="F68" s="377">
        <f t="shared" si="0"/>
        <v>10000</v>
      </c>
      <c r="G68" s="308">
        <f>G69</f>
        <v>0</v>
      </c>
      <c r="H68" s="524"/>
      <c r="I68" s="308">
        <f>I69</f>
        <v>5000</v>
      </c>
      <c r="J68" s="552">
        <f>J69</f>
        <v>5000</v>
      </c>
      <c r="K68" s="522"/>
    </row>
    <row r="69" spans="1:11" ht="48.75" thickBot="1">
      <c r="A69" s="381" t="s">
        <v>975</v>
      </c>
      <c r="B69" s="475"/>
      <c r="C69" s="476">
        <v>831</v>
      </c>
      <c r="D69" s="386">
        <v>297</v>
      </c>
      <c r="E69" s="477"/>
      <c r="F69" s="377">
        <f t="shared" si="0"/>
        <v>10000</v>
      </c>
      <c r="G69" s="377"/>
      <c r="H69" s="518"/>
      <c r="I69" s="377">
        <f>'Прилож 6'!E53</f>
        <v>5000</v>
      </c>
      <c r="J69" s="532">
        <v>5000</v>
      </c>
      <c r="K69" s="477"/>
    </row>
    <row r="70" spans="1:11" s="525" customFormat="1" ht="13.5" thickBot="1">
      <c r="A70" s="563" t="s">
        <v>1069</v>
      </c>
      <c r="B70" s="523" t="s">
        <v>919</v>
      </c>
      <c r="C70" s="524" t="s">
        <v>920</v>
      </c>
      <c r="D70" s="398"/>
      <c r="E70" s="522"/>
      <c r="F70" s="377">
        <f t="shared" si="0"/>
        <v>1446646.0000000002</v>
      </c>
      <c r="G70" s="308">
        <f>G71+G72+G73+G74+G75</f>
        <v>15936.57</v>
      </c>
      <c r="H70" s="524"/>
      <c r="I70" s="308">
        <f>I72+I73+I74+I75+I71</f>
        <v>1340709.4300000002</v>
      </c>
      <c r="J70" s="552">
        <f>J72+J73+J74+J76</f>
        <v>90000</v>
      </c>
      <c r="K70" s="522"/>
    </row>
    <row r="71" spans="1:11" ht="24.75" thickBot="1">
      <c r="A71" s="559" t="s">
        <v>1070</v>
      </c>
      <c r="B71" s="475" t="s">
        <v>496</v>
      </c>
      <c r="C71" s="476" t="s">
        <v>497</v>
      </c>
      <c r="D71" s="386">
        <v>291</v>
      </c>
      <c r="E71" s="477"/>
      <c r="F71" s="377">
        <f t="shared" si="0"/>
        <v>1242810.0000000002</v>
      </c>
      <c r="G71" s="377">
        <f>'Прилож 6'!E20+'Прилож 6'!E21</f>
        <v>15936.57</v>
      </c>
      <c r="H71" s="518"/>
      <c r="I71" s="377">
        <f>'Прилож 6'!E37+'Прилож 6'!E38</f>
        <v>1226873.4300000002</v>
      </c>
      <c r="J71" s="532"/>
      <c r="K71" s="477"/>
    </row>
    <row r="72" spans="1:12" ht="36.75" thickBot="1">
      <c r="A72" s="559" t="s">
        <v>1071</v>
      </c>
      <c r="B72" s="475" t="s">
        <v>498</v>
      </c>
      <c r="C72" s="476" t="s">
        <v>499</v>
      </c>
      <c r="D72" s="386">
        <v>291</v>
      </c>
      <c r="E72" s="477"/>
      <c r="F72" s="377">
        <f>I72+J72</f>
        <v>43836</v>
      </c>
      <c r="G72" s="377"/>
      <c r="H72" s="518"/>
      <c r="I72" s="377">
        <f>'Прилож 6'!E44+'Прилож 6'!E45+'Прилож 6'!E46</f>
        <v>23836</v>
      </c>
      <c r="J72" s="532">
        <v>20000</v>
      </c>
      <c r="K72" s="477"/>
      <c r="L72" s="554"/>
    </row>
    <row r="73" spans="1:11" ht="13.5" thickBot="1">
      <c r="A73" s="381" t="s">
        <v>910</v>
      </c>
      <c r="B73" s="475" t="s">
        <v>500</v>
      </c>
      <c r="C73" s="476" t="s">
        <v>501</v>
      </c>
      <c r="D73" s="386">
        <v>292</v>
      </c>
      <c r="E73" s="477"/>
      <c r="F73" s="377">
        <f>G73+I73+J73</f>
        <v>70000</v>
      </c>
      <c r="G73" s="377"/>
      <c r="H73" s="518"/>
      <c r="I73" s="377">
        <f>'Прилож 6'!E48</f>
        <v>30000</v>
      </c>
      <c r="J73" s="532">
        <v>40000</v>
      </c>
      <c r="K73" s="477"/>
    </row>
    <row r="74" spans="1:11" ht="13.5" thickBot="1">
      <c r="A74" s="564" t="s">
        <v>912</v>
      </c>
      <c r="B74" s="475" t="s">
        <v>500</v>
      </c>
      <c r="C74" s="476" t="s">
        <v>501</v>
      </c>
      <c r="D74" s="386">
        <v>293</v>
      </c>
      <c r="E74" s="477"/>
      <c r="F74" s="377">
        <f>G74+I74+J74</f>
        <v>37000</v>
      </c>
      <c r="G74" s="377"/>
      <c r="H74" s="518"/>
      <c r="I74" s="377">
        <f>'Прилож 6'!E49</f>
        <v>20000</v>
      </c>
      <c r="J74" s="532">
        <v>17000</v>
      </c>
      <c r="K74" s="477"/>
    </row>
    <row r="75" spans="1:11" ht="24.75" thickBot="1">
      <c r="A75" s="565" t="s">
        <v>925</v>
      </c>
      <c r="B75" s="475" t="s">
        <v>500</v>
      </c>
      <c r="C75" s="476" t="s">
        <v>501</v>
      </c>
      <c r="D75" s="386">
        <v>295</v>
      </c>
      <c r="E75" s="477"/>
      <c r="F75" s="377">
        <f>'Прилож 6'!E50</f>
        <v>40000</v>
      </c>
      <c r="G75" s="377"/>
      <c r="H75" s="518"/>
      <c r="I75" s="377">
        <f>'Прилож 6'!E50</f>
        <v>40000</v>
      </c>
      <c r="J75" s="532"/>
      <c r="K75" s="477"/>
    </row>
    <row r="76" spans="1:11" ht="13.5" thickBot="1">
      <c r="A76" s="566" t="s">
        <v>950</v>
      </c>
      <c r="B76" s="475" t="s">
        <v>500</v>
      </c>
      <c r="C76" s="476">
        <v>853</v>
      </c>
      <c r="D76" s="386">
        <v>297</v>
      </c>
      <c r="E76" s="477"/>
      <c r="F76" s="377">
        <f t="shared" si="0"/>
        <v>13000</v>
      </c>
      <c r="G76" s="377"/>
      <c r="H76" s="518"/>
      <c r="I76" s="377"/>
      <c r="J76" s="532">
        <f>8000+5000</f>
        <v>13000</v>
      </c>
      <c r="K76" s="477"/>
    </row>
    <row r="77" spans="1:11" ht="24.75" thickBot="1">
      <c r="A77" s="559" t="s">
        <v>1072</v>
      </c>
      <c r="B77" s="475" t="s">
        <v>502</v>
      </c>
      <c r="C77" s="476" t="s">
        <v>442</v>
      </c>
      <c r="D77" s="386"/>
      <c r="E77" s="477"/>
      <c r="F77" s="377">
        <f t="shared" si="0"/>
        <v>0</v>
      </c>
      <c r="G77" s="377"/>
      <c r="H77" s="518"/>
      <c r="I77" s="377"/>
      <c r="J77" s="532"/>
      <c r="K77" s="477"/>
    </row>
    <row r="78" spans="1:11" ht="24.75" thickBot="1">
      <c r="A78" s="559" t="s">
        <v>1073</v>
      </c>
      <c r="B78" s="475" t="s">
        <v>503</v>
      </c>
      <c r="C78" s="476" t="s">
        <v>504</v>
      </c>
      <c r="D78" s="386"/>
      <c r="E78" s="477"/>
      <c r="F78" s="377">
        <f t="shared" si="0"/>
        <v>0</v>
      </c>
      <c r="G78" s="377"/>
      <c r="H78" s="518"/>
      <c r="I78" s="377"/>
      <c r="J78" s="532"/>
      <c r="K78" s="477"/>
    </row>
    <row r="79" spans="1:11" ht="13.5" thickBot="1">
      <c r="A79" s="381" t="s">
        <v>284</v>
      </c>
      <c r="B79" s="475" t="s">
        <v>505</v>
      </c>
      <c r="C79" s="476" t="s">
        <v>506</v>
      </c>
      <c r="D79" s="386"/>
      <c r="E79" s="477"/>
      <c r="F79" s="377">
        <f t="shared" si="0"/>
        <v>0</v>
      </c>
      <c r="G79" s="377"/>
      <c r="H79" s="518"/>
      <c r="I79" s="377"/>
      <c r="J79" s="532"/>
      <c r="K79" s="477"/>
    </row>
    <row r="80" spans="1:11" ht="36.75" thickBot="1">
      <c r="A80" s="559" t="s">
        <v>1074</v>
      </c>
      <c r="B80" s="475" t="s">
        <v>507</v>
      </c>
      <c r="C80" s="476" t="s">
        <v>508</v>
      </c>
      <c r="D80" s="386"/>
      <c r="E80" s="477"/>
      <c r="F80" s="377">
        <f t="shared" si="0"/>
        <v>0</v>
      </c>
      <c r="G80" s="377"/>
      <c r="H80" s="518"/>
      <c r="I80" s="377"/>
      <c r="J80" s="532"/>
      <c r="K80" s="477"/>
    </row>
    <row r="81" spans="1:11" ht="24.75" thickBot="1">
      <c r="A81" s="559" t="s">
        <v>1075</v>
      </c>
      <c r="B81" s="475" t="s">
        <v>509</v>
      </c>
      <c r="C81" s="476" t="s">
        <v>510</v>
      </c>
      <c r="D81" s="386"/>
      <c r="E81" s="477"/>
      <c r="F81" s="377">
        <f t="shared" si="0"/>
        <v>0</v>
      </c>
      <c r="G81" s="377"/>
      <c r="H81" s="518"/>
      <c r="I81" s="377"/>
      <c r="J81" s="532"/>
      <c r="K81" s="477"/>
    </row>
    <row r="82" spans="1:11" ht="13.5" thickBot="1">
      <c r="A82" s="559" t="s">
        <v>1076</v>
      </c>
      <c r="B82" s="475" t="s">
        <v>511</v>
      </c>
      <c r="C82" s="476" t="s">
        <v>512</v>
      </c>
      <c r="D82" s="386"/>
      <c r="E82" s="477"/>
      <c r="F82" s="377">
        <f t="shared" si="0"/>
        <v>0</v>
      </c>
      <c r="G82" s="377"/>
      <c r="H82" s="518"/>
      <c r="I82" s="377"/>
      <c r="J82" s="532"/>
      <c r="K82" s="477"/>
    </row>
    <row r="83" spans="1:11" ht="41.25" customHeight="1" thickBot="1">
      <c r="A83" s="559" t="s">
        <v>1077</v>
      </c>
      <c r="B83" s="475" t="s">
        <v>513</v>
      </c>
      <c r="C83" s="476" t="s">
        <v>514</v>
      </c>
      <c r="D83" s="386"/>
      <c r="E83" s="477"/>
      <c r="F83" s="377">
        <f t="shared" si="0"/>
        <v>0</v>
      </c>
      <c r="G83" s="377"/>
      <c r="H83" s="518"/>
      <c r="I83" s="377"/>
      <c r="J83" s="532"/>
      <c r="K83" s="477"/>
    </row>
    <row r="84" spans="1:11" ht="24.75" thickBot="1">
      <c r="A84" s="559" t="s">
        <v>1078</v>
      </c>
      <c r="B84" s="475" t="s">
        <v>515</v>
      </c>
      <c r="C84" s="476" t="s">
        <v>464</v>
      </c>
      <c r="D84" s="386"/>
      <c r="E84" s="477"/>
      <c r="F84" s="377">
        <f t="shared" si="0"/>
        <v>0</v>
      </c>
      <c r="G84" s="377"/>
      <c r="H84" s="518"/>
      <c r="I84" s="377"/>
      <c r="J84" s="532"/>
      <c r="K84" s="477"/>
    </row>
    <row r="85" spans="1:11" ht="36.75" thickBot="1">
      <c r="A85" s="381" t="s">
        <v>338</v>
      </c>
      <c r="B85" s="475" t="s">
        <v>516</v>
      </c>
      <c r="C85" s="476" t="s">
        <v>517</v>
      </c>
      <c r="D85" s="386"/>
      <c r="E85" s="477"/>
      <c r="F85" s="377">
        <f t="shared" si="0"/>
        <v>0</v>
      </c>
      <c r="G85" s="377"/>
      <c r="H85" s="518"/>
      <c r="I85" s="377"/>
      <c r="J85" s="532"/>
      <c r="K85" s="477"/>
    </row>
    <row r="86" spans="1:11" ht="14.25" thickBot="1">
      <c r="A86" s="559" t="s">
        <v>1079</v>
      </c>
      <c r="B86" s="475" t="s">
        <v>518</v>
      </c>
      <c r="C86" s="476" t="s">
        <v>464</v>
      </c>
      <c r="D86" s="386"/>
      <c r="E86" s="520"/>
      <c r="F86" s="377">
        <f t="shared" si="0"/>
        <v>0</v>
      </c>
      <c r="G86" s="377"/>
      <c r="H86" s="518"/>
      <c r="I86" s="377"/>
      <c r="J86" s="532"/>
      <c r="K86" s="477"/>
    </row>
    <row r="87" spans="1:11" ht="34.5" customHeight="1" thickBot="1">
      <c r="A87" s="559" t="s">
        <v>1080</v>
      </c>
      <c r="B87" s="475" t="s">
        <v>519</v>
      </c>
      <c r="C87" s="476" t="s">
        <v>520</v>
      </c>
      <c r="D87" s="386"/>
      <c r="E87" s="520"/>
      <c r="F87" s="377">
        <f t="shared" si="0"/>
        <v>0</v>
      </c>
      <c r="G87" s="377"/>
      <c r="H87" s="518"/>
      <c r="I87" s="377"/>
      <c r="J87" s="532"/>
      <c r="K87" s="477"/>
    </row>
    <row r="88" spans="1:11" ht="24.75" thickBot="1">
      <c r="A88" s="559" t="s">
        <v>1081</v>
      </c>
      <c r="B88" s="475" t="s">
        <v>521</v>
      </c>
      <c r="C88" s="476" t="s">
        <v>522</v>
      </c>
      <c r="D88" s="386"/>
      <c r="E88" s="520"/>
      <c r="F88" s="377">
        <f t="shared" si="0"/>
        <v>0</v>
      </c>
      <c r="G88" s="377"/>
      <c r="H88" s="518"/>
      <c r="I88" s="377"/>
      <c r="J88" s="532"/>
      <c r="K88" s="477"/>
    </row>
    <row r="89" spans="1:11" ht="13.5" thickBot="1">
      <c r="A89" s="559" t="s">
        <v>1082</v>
      </c>
      <c r="B89" s="475" t="s">
        <v>523</v>
      </c>
      <c r="C89" s="476" t="s">
        <v>524</v>
      </c>
      <c r="D89" s="386"/>
      <c r="E89" s="520"/>
      <c r="F89" s="377">
        <f t="shared" si="0"/>
        <v>0</v>
      </c>
      <c r="G89" s="377"/>
      <c r="H89" s="518"/>
      <c r="I89" s="377"/>
      <c r="J89" s="532"/>
      <c r="K89" s="477"/>
    </row>
    <row r="90" spans="1:11" ht="13.5" thickBot="1">
      <c r="A90" s="559" t="s">
        <v>1083</v>
      </c>
      <c r="B90" s="520"/>
      <c r="C90" s="519"/>
      <c r="D90" s="386"/>
      <c r="E90" s="520"/>
      <c r="F90" s="377">
        <f t="shared" si="0"/>
        <v>0</v>
      </c>
      <c r="G90" s="377"/>
      <c r="H90" s="518"/>
      <c r="I90" s="377"/>
      <c r="J90" s="532"/>
      <c r="K90" s="477"/>
    </row>
    <row r="91" spans="1:11" ht="24.75" thickBot="1">
      <c r="A91" s="559" t="s">
        <v>1084</v>
      </c>
      <c r="B91" s="520"/>
      <c r="C91" s="476" t="s">
        <v>524</v>
      </c>
      <c r="D91" s="386" t="s">
        <v>927</v>
      </c>
      <c r="E91" s="476"/>
      <c r="F91" s="377">
        <f t="shared" si="0"/>
        <v>0</v>
      </c>
      <c r="G91" s="377"/>
      <c r="H91" s="518"/>
      <c r="I91" s="377"/>
      <c r="J91" s="532"/>
      <c r="K91" s="477"/>
    </row>
    <row r="92" spans="1:11" ht="13.5" thickBot="1">
      <c r="A92" s="560" t="s">
        <v>1085</v>
      </c>
      <c r="B92" s="520"/>
      <c r="C92" s="476" t="s">
        <v>524</v>
      </c>
      <c r="D92" s="386" t="s">
        <v>928</v>
      </c>
      <c r="E92" s="476"/>
      <c r="F92" s="377">
        <f t="shared" si="0"/>
        <v>592447.8300000001</v>
      </c>
      <c r="G92" s="377">
        <f>'Прилож 8(221)'!E17</f>
        <v>5000</v>
      </c>
      <c r="H92" s="518"/>
      <c r="I92" s="377">
        <f>'Прилож 8(221)'!E25</f>
        <v>587447.8300000001</v>
      </c>
      <c r="J92" s="532">
        <f>'Прилож 8(221)'!E33</f>
        <v>0</v>
      </c>
      <c r="K92" s="477"/>
    </row>
    <row r="93" spans="1:11" ht="13.5" thickBot="1">
      <c r="A93" s="560" t="s">
        <v>1086</v>
      </c>
      <c r="B93" s="520"/>
      <c r="C93" s="476" t="s">
        <v>524</v>
      </c>
      <c r="D93" s="386" t="s">
        <v>929</v>
      </c>
      <c r="E93" s="526"/>
      <c r="F93" s="377">
        <f t="shared" si="0"/>
        <v>0</v>
      </c>
      <c r="G93" s="377"/>
      <c r="H93" s="518"/>
      <c r="I93" s="377"/>
      <c r="J93" s="532"/>
      <c r="K93" s="477"/>
    </row>
    <row r="94" spans="1:11" ht="13.5" thickBot="1">
      <c r="A94" s="560" t="s">
        <v>1087</v>
      </c>
      <c r="B94" s="520"/>
      <c r="C94" s="476" t="s">
        <v>524</v>
      </c>
      <c r="D94" s="386" t="s">
        <v>930</v>
      </c>
      <c r="E94" s="506" t="s">
        <v>824</v>
      </c>
      <c r="F94" s="377">
        <f t="shared" si="0"/>
        <v>2036127</v>
      </c>
      <c r="G94" s="377">
        <f>'Прилож 9(223)'!F19</f>
        <v>10000</v>
      </c>
      <c r="H94" s="518"/>
      <c r="I94" s="377">
        <f>'Прилож 9(223)'!F26</f>
        <v>2017668</v>
      </c>
      <c r="J94" s="532">
        <v>8459</v>
      </c>
      <c r="K94" s="477"/>
    </row>
    <row r="95" spans="1:11" ht="13.5" thickBot="1">
      <c r="A95" s="560" t="s">
        <v>1087</v>
      </c>
      <c r="B95" s="520"/>
      <c r="C95" s="476" t="s">
        <v>524</v>
      </c>
      <c r="D95" s="386" t="s">
        <v>930</v>
      </c>
      <c r="E95" s="506" t="s">
        <v>825</v>
      </c>
      <c r="F95" s="377">
        <f t="shared" si="0"/>
        <v>3000</v>
      </c>
      <c r="G95" s="377">
        <f>'Прилож 9(223)'!F20</f>
        <v>3000</v>
      </c>
      <c r="H95" s="518"/>
      <c r="I95" s="377"/>
      <c r="J95" s="532"/>
      <c r="K95" s="477"/>
    </row>
    <row r="96" spans="1:11" ht="13.5" thickBot="1">
      <c r="A96" s="560" t="s">
        <v>1087</v>
      </c>
      <c r="B96" s="520"/>
      <c r="C96" s="476">
        <v>247</v>
      </c>
      <c r="D96" s="386" t="s">
        <v>930</v>
      </c>
      <c r="E96" s="506" t="s">
        <v>824</v>
      </c>
      <c r="F96" s="377">
        <f t="shared" si="0"/>
        <v>6296000.2</v>
      </c>
      <c r="G96" s="377">
        <f>'Прилож 9(223)'!F22+'Прилож 9(223)'!F17</f>
        <v>20000</v>
      </c>
      <c r="H96" s="518"/>
      <c r="I96" s="377">
        <f>'Прилож 9(223)'!F30+'Прилож 9(223)'!F33</f>
        <v>6250000.2</v>
      </c>
      <c r="J96" s="532">
        <f>10000+16000</f>
        <v>26000</v>
      </c>
      <c r="K96" s="477"/>
    </row>
    <row r="97" spans="1:11" ht="13.5" thickBot="1">
      <c r="A97" s="560" t="s">
        <v>1087</v>
      </c>
      <c r="B97" s="520"/>
      <c r="C97" s="476">
        <v>247</v>
      </c>
      <c r="D97" s="386" t="s">
        <v>930</v>
      </c>
      <c r="E97" s="506" t="s">
        <v>825</v>
      </c>
      <c r="F97" s="377">
        <f t="shared" si="0"/>
        <v>2000</v>
      </c>
      <c r="G97" s="377">
        <f>'Прилож 9(223)'!F18+'Прилож 9(223)'!F23</f>
        <v>2000</v>
      </c>
      <c r="H97" s="518"/>
      <c r="I97" s="377"/>
      <c r="J97" s="532"/>
      <c r="K97" s="477"/>
    </row>
    <row r="98" spans="1:11" ht="40.5" customHeight="1" thickBot="1">
      <c r="A98" s="381" t="s">
        <v>295</v>
      </c>
      <c r="B98" s="520"/>
      <c r="C98" s="476" t="s">
        <v>524</v>
      </c>
      <c r="D98" s="386" t="s">
        <v>931</v>
      </c>
      <c r="E98" s="476"/>
      <c r="F98" s="377">
        <f t="shared" si="0"/>
        <v>2555862</v>
      </c>
      <c r="G98" s="377"/>
      <c r="H98" s="518"/>
      <c r="I98" s="377">
        <v>2555862</v>
      </c>
      <c r="J98" s="532"/>
      <c r="K98" s="477"/>
    </row>
    <row r="99" spans="1:11" ht="18.75" customHeight="1" thickBot="1">
      <c r="A99" s="381" t="s">
        <v>1031</v>
      </c>
      <c r="B99" s="477"/>
      <c r="C99" s="476" t="s">
        <v>524</v>
      </c>
      <c r="D99" s="386" t="s">
        <v>932</v>
      </c>
      <c r="E99" s="506" t="s">
        <v>824</v>
      </c>
      <c r="F99" s="377">
        <f t="shared" si="0"/>
        <v>8147332.61</v>
      </c>
      <c r="G99" s="377">
        <f>'Прилож 10(225)'!F18</f>
        <v>60332.61</v>
      </c>
      <c r="H99" s="518"/>
      <c r="I99" s="377">
        <f>'Прилож 10(225)'!F31</f>
        <v>8065000</v>
      </c>
      <c r="J99" s="532">
        <f>'Прилож 10(225)'!F47</f>
        <v>22000</v>
      </c>
      <c r="K99" s="477"/>
    </row>
    <row r="100" spans="1:11" ht="16.5" customHeight="1" thickBot="1">
      <c r="A100" s="381" t="s">
        <v>1031</v>
      </c>
      <c r="B100" s="477"/>
      <c r="C100" s="476" t="s">
        <v>524</v>
      </c>
      <c r="D100" s="386" t="s">
        <v>932</v>
      </c>
      <c r="E100" s="506" t="s">
        <v>825</v>
      </c>
      <c r="F100" s="377">
        <f t="shared" si="0"/>
        <v>127000</v>
      </c>
      <c r="G100" s="377">
        <f>'Прилож 10(225)'!F23</f>
        <v>127000</v>
      </c>
      <c r="H100" s="518"/>
      <c r="I100" s="377"/>
      <c r="J100" s="532"/>
      <c r="K100" s="477"/>
    </row>
    <row r="101" spans="1:11" ht="13.5" thickBot="1">
      <c r="A101" s="482" t="s">
        <v>1024</v>
      </c>
      <c r="B101" s="477"/>
      <c r="C101" s="476" t="s">
        <v>524</v>
      </c>
      <c r="D101" s="386" t="s">
        <v>933</v>
      </c>
      <c r="E101" s="506" t="s">
        <v>824</v>
      </c>
      <c r="F101" s="377">
        <f>G101+I101+J101+H101</f>
        <v>6736600</v>
      </c>
      <c r="G101" s="377">
        <f>'Прилож 11(226)'!F21</f>
        <v>27600</v>
      </c>
      <c r="H101" s="377">
        <f>'Прилож 11(226)'!F38</f>
        <v>489670</v>
      </c>
      <c r="I101" s="377">
        <f>'Прилож 11(226)'!F25+'Прилож 11(226)'!F26+'Прилож 11(226)'!F27+'Прилож 11(226)'!F28</f>
        <v>6000000</v>
      </c>
      <c r="J101" s="532">
        <f>'Прилож 11(226)'!F30</f>
        <v>219330</v>
      </c>
      <c r="K101" s="477"/>
    </row>
    <row r="102" spans="1:11" ht="12" customHeight="1" thickBot="1">
      <c r="A102" s="560" t="s">
        <v>1088</v>
      </c>
      <c r="B102" s="477"/>
      <c r="C102" s="476">
        <v>112</v>
      </c>
      <c r="D102" s="386">
        <v>226</v>
      </c>
      <c r="E102" s="506" t="s">
        <v>824</v>
      </c>
      <c r="F102" s="377">
        <f t="shared" si="0"/>
        <v>500000</v>
      </c>
      <c r="G102" s="377"/>
      <c r="H102" s="518"/>
      <c r="I102" s="377">
        <f>'Прилож 11(226)'!F24</f>
        <v>500000</v>
      </c>
      <c r="J102" s="532"/>
      <c r="K102" s="477"/>
    </row>
    <row r="103" spans="1:11" ht="12" customHeight="1" thickBot="1">
      <c r="A103" s="482" t="s">
        <v>1024</v>
      </c>
      <c r="B103" s="477"/>
      <c r="C103" s="476">
        <v>112</v>
      </c>
      <c r="D103" s="386">
        <v>226</v>
      </c>
      <c r="E103" s="506" t="s">
        <v>825</v>
      </c>
      <c r="F103" s="377"/>
      <c r="G103" s="377"/>
      <c r="H103" s="377">
        <f>'Прилож 11(226)'!F39</f>
        <v>38448</v>
      </c>
      <c r="I103" s="377"/>
      <c r="J103" s="532"/>
      <c r="K103" s="477"/>
    </row>
    <row r="104" spans="1:11" ht="13.5" thickBot="1">
      <c r="A104" s="482" t="s">
        <v>1032</v>
      </c>
      <c r="B104" s="477"/>
      <c r="C104" s="476" t="s">
        <v>524</v>
      </c>
      <c r="D104" s="386" t="s">
        <v>934</v>
      </c>
      <c r="E104" s="506" t="s">
        <v>824</v>
      </c>
      <c r="F104" s="377">
        <f t="shared" si="0"/>
        <v>165000</v>
      </c>
      <c r="G104" s="377"/>
      <c r="H104" s="518"/>
      <c r="I104" s="377">
        <v>100000</v>
      </c>
      <c r="J104" s="532">
        <v>65000</v>
      </c>
      <c r="K104" s="477"/>
    </row>
    <row r="105" spans="1:11" ht="14.25" customHeight="1" thickBot="1">
      <c r="A105" s="559" t="s">
        <v>1089</v>
      </c>
      <c r="B105" s="477"/>
      <c r="C105" s="476" t="s">
        <v>524</v>
      </c>
      <c r="D105" s="386" t="s">
        <v>935</v>
      </c>
      <c r="E105" s="476"/>
      <c r="F105" s="377">
        <f t="shared" si="0"/>
        <v>0</v>
      </c>
      <c r="G105" s="377"/>
      <c r="H105" s="518"/>
      <c r="I105" s="377"/>
      <c r="J105" s="532"/>
      <c r="K105" s="477"/>
    </row>
    <row r="106" spans="1:11" ht="24.75" thickBot="1">
      <c r="A106" s="559" t="s">
        <v>1090</v>
      </c>
      <c r="B106" s="477"/>
      <c r="C106" s="476" t="s">
        <v>524</v>
      </c>
      <c r="D106" s="386" t="s">
        <v>936</v>
      </c>
      <c r="E106" s="476"/>
      <c r="F106" s="377">
        <f t="shared" si="0"/>
        <v>0</v>
      </c>
      <c r="G106" s="377"/>
      <c r="H106" s="518"/>
      <c r="I106" s="377"/>
      <c r="J106" s="532"/>
      <c r="K106" s="477"/>
    </row>
    <row r="107" spans="1:11" ht="48.75" thickBot="1">
      <c r="A107" s="559" t="s">
        <v>978</v>
      </c>
      <c r="B107" s="477"/>
      <c r="C107" s="476" t="s">
        <v>471</v>
      </c>
      <c r="D107" s="386">
        <v>265</v>
      </c>
      <c r="E107" s="476"/>
      <c r="F107" s="377">
        <f t="shared" si="0"/>
        <v>20000</v>
      </c>
      <c r="G107" s="377"/>
      <c r="H107" s="518"/>
      <c r="I107" s="377">
        <f>20000</f>
        <v>20000</v>
      </c>
      <c r="J107" s="532"/>
      <c r="K107" s="477"/>
    </row>
    <row r="108" spans="1:11" ht="24.75" thickBot="1">
      <c r="A108" s="559" t="s">
        <v>979</v>
      </c>
      <c r="B108" s="477"/>
      <c r="C108" s="476">
        <v>111</v>
      </c>
      <c r="D108" s="386">
        <v>266</v>
      </c>
      <c r="E108" s="506" t="s">
        <v>824</v>
      </c>
      <c r="F108" s="377">
        <f t="shared" si="0"/>
        <v>1318664</v>
      </c>
      <c r="G108" s="377">
        <v>18664</v>
      </c>
      <c r="H108" s="518"/>
      <c r="I108" s="377">
        <v>1300000</v>
      </c>
      <c r="J108" s="532"/>
      <c r="K108" s="477"/>
    </row>
    <row r="109" spans="1:11" ht="23.25" customHeight="1" thickBot="1">
      <c r="A109" s="559" t="s">
        <v>979</v>
      </c>
      <c r="B109" s="477"/>
      <c r="C109" s="476">
        <v>119</v>
      </c>
      <c r="D109" s="386">
        <v>266</v>
      </c>
      <c r="E109" s="506" t="s">
        <v>824</v>
      </c>
      <c r="F109" s="377">
        <f t="shared" si="0"/>
        <v>85636</v>
      </c>
      <c r="G109" s="377">
        <v>5636</v>
      </c>
      <c r="H109" s="518"/>
      <c r="I109" s="377">
        <v>80000</v>
      </c>
      <c r="J109" s="532"/>
      <c r="K109" s="477"/>
    </row>
    <row r="110" spans="1:11" ht="24.75" thickBot="1">
      <c r="A110" s="559" t="s">
        <v>1091</v>
      </c>
      <c r="B110" s="477"/>
      <c r="C110" s="476" t="s">
        <v>524</v>
      </c>
      <c r="D110" s="386" t="s">
        <v>937</v>
      </c>
      <c r="E110" s="476"/>
      <c r="F110" s="377">
        <f t="shared" si="0"/>
        <v>0</v>
      </c>
      <c r="G110" s="377"/>
      <c r="H110" s="518"/>
      <c r="I110" s="377"/>
      <c r="J110" s="532"/>
      <c r="K110" s="477"/>
    </row>
    <row r="111" spans="1:11" ht="13.5" thickBot="1">
      <c r="A111" s="381" t="s">
        <v>1030</v>
      </c>
      <c r="B111" s="477"/>
      <c r="C111" s="476" t="s">
        <v>524</v>
      </c>
      <c r="D111" s="386" t="s">
        <v>938</v>
      </c>
      <c r="E111" s="506" t="s">
        <v>825</v>
      </c>
      <c r="F111" s="377">
        <f t="shared" si="0"/>
        <v>3291670</v>
      </c>
      <c r="G111" s="377">
        <f>'Прилож 12(310)'!F15</f>
        <v>3000</v>
      </c>
      <c r="H111" s="518"/>
      <c r="I111" s="377">
        <f>'Прилож 12(310)'!F22</f>
        <v>3000000</v>
      </c>
      <c r="J111" s="532">
        <f>'Прилож 12(310)'!F29</f>
        <v>288670</v>
      </c>
      <c r="K111" s="477"/>
    </row>
    <row r="112" spans="1:11" ht="13.5" thickBot="1">
      <c r="A112" s="559" t="s">
        <v>1092</v>
      </c>
      <c r="B112" s="477"/>
      <c r="C112" s="476" t="s">
        <v>524</v>
      </c>
      <c r="D112" s="386" t="s">
        <v>71</v>
      </c>
      <c r="E112" s="476"/>
      <c r="F112" s="377">
        <f aca="true" t="shared" si="1" ref="F112:F122">G112+I112+J112</f>
        <v>0</v>
      </c>
      <c r="G112" s="377"/>
      <c r="H112" s="518"/>
      <c r="I112" s="377"/>
      <c r="J112" s="532"/>
      <c r="K112" s="477"/>
    </row>
    <row r="113" spans="1:12" ht="32.25" customHeight="1" thickBot="1">
      <c r="A113" s="381" t="s">
        <v>1025</v>
      </c>
      <c r="B113" s="477"/>
      <c r="C113" s="476" t="s">
        <v>524</v>
      </c>
      <c r="D113" s="386" t="s">
        <v>939</v>
      </c>
      <c r="E113" s="506" t="s">
        <v>824</v>
      </c>
      <c r="F113" s="377">
        <f t="shared" si="1"/>
        <v>38711485.54</v>
      </c>
      <c r="G113" s="377">
        <f>'Прилож 7(340)'!F19</f>
        <v>180000</v>
      </c>
      <c r="H113" s="518"/>
      <c r="I113" s="377">
        <f>'Прилож 7(340)'!F46</f>
        <v>38468519.14</v>
      </c>
      <c r="J113" s="532">
        <f>'Прилож 7(340)'!L71</f>
        <v>62966.399999999994</v>
      </c>
      <c r="K113" s="477"/>
      <c r="L113" s="554"/>
    </row>
    <row r="114" spans="1:11" ht="13.5" thickBot="1">
      <c r="A114" s="381" t="s">
        <v>1026</v>
      </c>
      <c r="B114" s="520"/>
      <c r="C114" s="476" t="s">
        <v>524</v>
      </c>
      <c r="D114" s="386" t="s">
        <v>940</v>
      </c>
      <c r="E114" s="506" t="s">
        <v>824</v>
      </c>
      <c r="F114" s="377">
        <f t="shared" si="1"/>
        <v>15206202</v>
      </c>
      <c r="G114" s="377">
        <f>'Прилож 7(340)'!F27</f>
        <v>100000</v>
      </c>
      <c r="H114" s="518"/>
      <c r="I114" s="377">
        <f>'Прилож 7(340)'!F54</f>
        <v>14600000</v>
      </c>
      <c r="J114" s="532">
        <f>'Прилож 7(340)'!F79</f>
        <v>506202</v>
      </c>
      <c r="K114" s="477"/>
    </row>
    <row r="115" spans="1:11" ht="13.5" thickBot="1">
      <c r="A115" s="381" t="s">
        <v>1020</v>
      </c>
      <c r="B115" s="520"/>
      <c r="C115" s="476" t="s">
        <v>524</v>
      </c>
      <c r="D115" s="386" t="s">
        <v>941</v>
      </c>
      <c r="E115" s="506" t="s">
        <v>824</v>
      </c>
      <c r="F115" s="377">
        <f t="shared" si="1"/>
        <v>410532</v>
      </c>
      <c r="G115" s="377">
        <f>'Прилож 7(340)'!F28</f>
        <v>5000</v>
      </c>
      <c r="H115" s="518"/>
      <c r="I115" s="377">
        <f>'Прилож 7(340)'!F55</f>
        <v>405532</v>
      </c>
      <c r="J115" s="532"/>
      <c r="K115" s="477"/>
    </row>
    <row r="116" spans="1:11" ht="13.5" thickBot="1">
      <c r="A116" s="381" t="s">
        <v>1021</v>
      </c>
      <c r="B116" s="520"/>
      <c r="C116" s="476" t="s">
        <v>524</v>
      </c>
      <c r="D116" s="386" t="s">
        <v>942</v>
      </c>
      <c r="F116" s="377">
        <f t="shared" si="1"/>
        <v>550000</v>
      </c>
      <c r="G116" s="377"/>
      <c r="H116" s="518"/>
      <c r="I116" s="377">
        <f>'Прилож 7(340)'!F57</f>
        <v>550000</v>
      </c>
      <c r="J116" s="532"/>
      <c r="K116" s="477"/>
    </row>
    <row r="117" spans="1:11" ht="13.5" thickBot="1">
      <c r="A117" s="559" t="s">
        <v>1093</v>
      </c>
      <c r="B117" s="520"/>
      <c r="C117" s="476" t="s">
        <v>524</v>
      </c>
      <c r="D117" s="386" t="s">
        <v>943</v>
      </c>
      <c r="E117" s="506" t="s">
        <v>824</v>
      </c>
      <c r="F117" s="377">
        <f t="shared" si="1"/>
        <v>1614000</v>
      </c>
      <c r="G117" s="377">
        <f>'Прилож 7(340)'!F32+'Прилож 7(340)'!F35</f>
        <v>14000</v>
      </c>
      <c r="H117" s="518"/>
      <c r="I117" s="377">
        <f>'Прилож 7(340)'!F58+'Прилож 7(340)'!F61</f>
        <v>1600000</v>
      </c>
      <c r="J117" s="532"/>
      <c r="K117" s="477"/>
    </row>
    <row r="118" spans="1:11" ht="13.5" thickBot="1">
      <c r="A118" s="559" t="s">
        <v>1093</v>
      </c>
      <c r="B118" s="520"/>
      <c r="C118" s="476" t="s">
        <v>524</v>
      </c>
      <c r="D118" s="386" t="s">
        <v>943</v>
      </c>
      <c r="E118" s="506" t="s">
        <v>825</v>
      </c>
      <c r="F118" s="377">
        <f t="shared" si="1"/>
        <v>115000</v>
      </c>
      <c r="G118" s="377">
        <f>'Прилож 7(340)'!F36</f>
        <v>115000</v>
      </c>
      <c r="H118" s="518"/>
      <c r="I118" s="377"/>
      <c r="J118" s="532"/>
      <c r="K118" s="477"/>
    </row>
    <row r="119" spans="1:11" ht="24.75" thickBot="1">
      <c r="A119" s="381" t="s">
        <v>1129</v>
      </c>
      <c r="B119" s="520"/>
      <c r="C119" s="476" t="s">
        <v>524</v>
      </c>
      <c r="D119" s="386" t="s">
        <v>944</v>
      </c>
      <c r="E119" s="506" t="s">
        <v>824</v>
      </c>
      <c r="F119" s="377">
        <f>G119+H119+I119+J119</f>
        <v>6072036</v>
      </c>
      <c r="G119" s="377">
        <f>'Прилож 7(340)'!F37</f>
        <v>25000</v>
      </c>
      <c r="H119" s="377">
        <f>'Прилож 7(340)'!F96</f>
        <v>317036</v>
      </c>
      <c r="I119" s="377">
        <f>'Прилож 7(340)'!F56+'Прилож 7(340)'!F62</f>
        <v>5700000</v>
      </c>
      <c r="J119" s="532">
        <f>'Прилож 7(340)'!F88</f>
        <v>30000</v>
      </c>
      <c r="K119" s="477"/>
    </row>
    <row r="120" spans="1:11" ht="24.75" thickBot="1">
      <c r="A120" s="559" t="s">
        <v>1094</v>
      </c>
      <c r="B120" s="520"/>
      <c r="C120" s="476" t="s">
        <v>524</v>
      </c>
      <c r="D120" s="386" t="s">
        <v>944</v>
      </c>
      <c r="E120" s="506" t="s">
        <v>825</v>
      </c>
      <c r="F120" s="377">
        <f t="shared" si="1"/>
        <v>10000</v>
      </c>
      <c r="G120" s="377">
        <f>'Прилож 7(340)'!F30</f>
        <v>10000</v>
      </c>
      <c r="H120" s="518"/>
      <c r="I120" s="377"/>
      <c r="J120" s="532">
        <f>'Прилож 7(340)'!F89</f>
        <v>0</v>
      </c>
      <c r="K120" s="477"/>
    </row>
    <row r="121" spans="1:11" ht="24.75" thickBot="1">
      <c r="A121" s="559" t="s">
        <v>1095</v>
      </c>
      <c r="B121" s="520"/>
      <c r="C121" s="476" t="s">
        <v>524</v>
      </c>
      <c r="D121" s="386" t="s">
        <v>945</v>
      </c>
      <c r="E121" s="476"/>
      <c r="F121" s="377">
        <f t="shared" si="1"/>
        <v>0</v>
      </c>
      <c r="G121" s="377"/>
      <c r="H121" s="518"/>
      <c r="I121" s="377"/>
      <c r="J121" s="532"/>
      <c r="K121" s="477"/>
    </row>
    <row r="122" spans="1:11" ht="33" customHeight="1" thickBot="1">
      <c r="A122" s="381" t="s">
        <v>1027</v>
      </c>
      <c r="B122" s="520"/>
      <c r="C122" s="476" t="s">
        <v>524</v>
      </c>
      <c r="D122" s="386" t="s">
        <v>946</v>
      </c>
      <c r="E122" s="506" t="s">
        <v>824</v>
      </c>
      <c r="F122" s="377">
        <f t="shared" si="1"/>
        <v>145000</v>
      </c>
      <c r="G122" s="377"/>
      <c r="H122" s="518"/>
      <c r="I122" s="377">
        <f>'Прилож 7(340)'!F67</f>
        <v>40000</v>
      </c>
      <c r="J122" s="532">
        <f>'Прилож 7(340)'!F92</f>
        <v>105000</v>
      </c>
      <c r="K122" s="477"/>
    </row>
    <row r="123" spans="1:11" ht="13.5" thickBot="1">
      <c r="A123" s="559" t="s">
        <v>1096</v>
      </c>
      <c r="B123" s="475" t="s">
        <v>525</v>
      </c>
      <c r="C123" s="476" t="s">
        <v>526</v>
      </c>
      <c r="D123" s="386">
        <v>223</v>
      </c>
      <c r="E123" s="506"/>
      <c r="F123" s="377"/>
      <c r="G123" s="377"/>
      <c r="H123" s="518"/>
      <c r="I123" s="377"/>
      <c r="J123" s="532"/>
      <c r="K123" s="477"/>
    </row>
    <row r="124" spans="1:11" ht="13.5" thickBot="1">
      <c r="A124" s="560" t="s">
        <v>1087</v>
      </c>
      <c r="B124" s="520"/>
      <c r="C124" s="476" t="s">
        <v>524</v>
      </c>
      <c r="D124" s="386" t="s">
        <v>930</v>
      </c>
      <c r="E124" s="506"/>
      <c r="F124" s="377"/>
      <c r="G124" s="377"/>
      <c r="H124" s="518"/>
      <c r="I124" s="377"/>
      <c r="J124" s="532"/>
      <c r="K124" s="477"/>
    </row>
    <row r="125" spans="1:11" ht="24.75" thickBot="1">
      <c r="A125" s="559" t="s">
        <v>1097</v>
      </c>
      <c r="B125" s="520"/>
      <c r="C125" s="476" t="s">
        <v>463</v>
      </c>
      <c r="D125" s="386"/>
      <c r="E125" s="520"/>
      <c r="F125" s="377"/>
      <c r="G125" s="377"/>
      <c r="H125" s="518"/>
      <c r="I125" s="377"/>
      <c r="J125" s="532"/>
      <c r="K125" s="477"/>
    </row>
    <row r="126" spans="1:11" ht="13.5" thickBot="1">
      <c r="A126" s="559" t="s">
        <v>1098</v>
      </c>
      <c r="B126" s="475" t="s">
        <v>527</v>
      </c>
      <c r="C126" s="476" t="s">
        <v>528</v>
      </c>
      <c r="D126" s="386">
        <v>189</v>
      </c>
      <c r="E126" s="520"/>
      <c r="F126" s="377">
        <f>F128</f>
        <v>-69500</v>
      </c>
      <c r="G126" s="377"/>
      <c r="H126" s="518"/>
      <c r="I126" s="377"/>
      <c r="J126" s="532"/>
      <c r="K126" s="477"/>
    </row>
    <row r="127" spans="1:11" ht="14.25" thickBot="1">
      <c r="A127" s="560" t="s">
        <v>1099</v>
      </c>
      <c r="B127" s="520"/>
      <c r="C127" s="519"/>
      <c r="D127" s="386"/>
      <c r="E127" s="477"/>
      <c r="F127" s="377"/>
      <c r="G127" s="377"/>
      <c r="H127" s="518"/>
      <c r="I127" s="377"/>
      <c r="J127" s="532"/>
      <c r="K127" s="477"/>
    </row>
    <row r="128" spans="1:11" ht="14.25" thickBot="1">
      <c r="A128" s="560" t="s">
        <v>1100</v>
      </c>
      <c r="B128" s="475">
        <v>3010</v>
      </c>
      <c r="C128" s="476" t="s">
        <v>462</v>
      </c>
      <c r="D128" s="386">
        <v>189</v>
      </c>
      <c r="E128" s="477"/>
      <c r="F128" s="377">
        <v>-69500</v>
      </c>
      <c r="G128" s="377"/>
      <c r="H128" s="518"/>
      <c r="I128" s="377"/>
      <c r="J128" s="532"/>
      <c r="K128" s="477"/>
    </row>
    <row r="129" spans="1:11" ht="14.25" thickBot="1">
      <c r="A129" s="559" t="s">
        <v>1101</v>
      </c>
      <c r="B129" s="475" t="s">
        <v>529</v>
      </c>
      <c r="C129" s="476" t="s">
        <v>462</v>
      </c>
      <c r="D129" s="386"/>
      <c r="E129" s="477"/>
      <c r="F129" s="377"/>
      <c r="G129" s="377"/>
      <c r="H129" s="518"/>
      <c r="I129" s="377"/>
      <c r="J129" s="532"/>
      <c r="K129" s="477"/>
    </row>
    <row r="130" spans="1:11" ht="14.25" thickBot="1">
      <c r="A130" s="560" t="s">
        <v>1102</v>
      </c>
      <c r="B130" s="475" t="s">
        <v>530</v>
      </c>
      <c r="C130" s="519"/>
      <c r="D130" s="386"/>
      <c r="E130" s="477"/>
      <c r="F130" s="377"/>
      <c r="G130" s="377"/>
      <c r="H130" s="518"/>
      <c r="I130" s="377"/>
      <c r="J130" s="532"/>
      <c r="K130" s="477"/>
    </row>
    <row r="131" spans="1:11" ht="13.5" thickBot="1">
      <c r="A131" s="559" t="s">
        <v>1103</v>
      </c>
      <c r="B131" s="475" t="s">
        <v>531</v>
      </c>
      <c r="C131" s="476" t="s">
        <v>532</v>
      </c>
      <c r="D131" s="386"/>
      <c r="E131" s="477"/>
      <c r="F131" s="377"/>
      <c r="G131" s="377"/>
      <c r="H131" s="518"/>
      <c r="I131" s="377"/>
      <c r="J131" s="532"/>
      <c r="K131" s="477"/>
    </row>
    <row r="133" ht="12.75">
      <c r="A133" s="556" t="s">
        <v>1104</v>
      </c>
    </row>
    <row r="135" ht="12.75">
      <c r="A135" s="556" t="s">
        <v>1105</v>
      </c>
    </row>
    <row r="136" ht="12.75">
      <c r="A136" s="556" t="s">
        <v>1106</v>
      </c>
    </row>
    <row r="138" spans="1:11" ht="12.75">
      <c r="A138" s="556" t="s">
        <v>1107</v>
      </c>
      <c r="D138" s="513"/>
      <c r="E138" s="527" t="s">
        <v>980</v>
      </c>
      <c r="F138" s="528"/>
      <c r="H138" s="602"/>
      <c r="I138" s="481"/>
      <c r="J138" s="553"/>
      <c r="K138" s="529"/>
    </row>
    <row r="139" spans="1:11" ht="15">
      <c r="A139" s="556" t="s">
        <v>1108</v>
      </c>
      <c r="D139" s="530" t="s">
        <v>977</v>
      </c>
      <c r="E139" s="531"/>
      <c r="H139" s="602"/>
      <c r="I139" s="481"/>
      <c r="J139" s="553"/>
      <c r="K139" s="529"/>
    </row>
    <row r="140" spans="8:11" ht="12.75">
      <c r="H140" s="602"/>
      <c r="I140" s="481"/>
      <c r="J140" s="553"/>
      <c r="K140" s="529"/>
    </row>
    <row r="141" spans="8:11" ht="12.75">
      <c r="H141" s="602"/>
      <c r="I141" s="481"/>
      <c r="J141" s="553"/>
      <c r="K141" s="529"/>
    </row>
    <row r="142" spans="8:11" ht="12.75">
      <c r="H142" s="602"/>
      <c r="I142" s="481"/>
      <c r="J142" s="553"/>
      <c r="K142" s="529"/>
    </row>
    <row r="143" spans="1:8" s="574" customFormat="1" ht="15">
      <c r="A143" s="572" t="s">
        <v>185</v>
      </c>
      <c r="B143" s="573"/>
      <c r="D143" s="573"/>
      <c r="E143" s="573" t="s">
        <v>915</v>
      </c>
      <c r="F143" s="575"/>
      <c r="H143" s="573"/>
    </row>
    <row r="144" spans="1:11" ht="15">
      <c r="A144" s="556" t="s">
        <v>1108</v>
      </c>
      <c r="D144" s="530" t="s">
        <v>976</v>
      </c>
      <c r="E144" s="531"/>
      <c r="H144" s="602"/>
      <c r="I144" s="481"/>
      <c r="J144" s="553"/>
      <c r="K144" s="529"/>
    </row>
    <row r="146" ht="12.75">
      <c r="A146" s="556"/>
    </row>
    <row r="148" ht="12.75">
      <c r="A148" s="556"/>
    </row>
  </sheetData>
  <sheetProtection/>
  <mergeCells count="1">
    <mergeCell ref="A12:K12"/>
  </mergeCells>
  <printOptions/>
  <pageMargins left="0" right="0" top="0" bottom="0" header="0" footer="0"/>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2:F46"/>
  <sheetViews>
    <sheetView zoomScalePageLayoutView="0" workbookViewId="0" topLeftCell="A16">
      <selection activeCell="D34" sqref="D34"/>
    </sheetView>
  </sheetViews>
  <sheetFormatPr defaultColWidth="8.875" defaultRowHeight="12.75"/>
  <cols>
    <col min="1" max="1" width="53.375" style="572" customWidth="1"/>
    <col min="2" max="2" width="8.875" style="573" customWidth="1"/>
    <col min="3" max="3" width="11.25390625" style="574" customWidth="1"/>
    <col min="4" max="4" width="21.125" style="573" customWidth="1"/>
    <col min="5" max="5" width="21.25390625" style="573" customWidth="1"/>
    <col min="6" max="6" width="105.75390625" style="575" customWidth="1"/>
    <col min="7" max="16384" width="8.875" style="574" customWidth="1"/>
  </cols>
  <sheetData>
    <row r="2" ht="15">
      <c r="E2" s="530" t="s">
        <v>546</v>
      </c>
    </row>
    <row r="4" ht="15">
      <c r="E4" s="530" t="s">
        <v>547</v>
      </c>
    </row>
    <row r="5" ht="15">
      <c r="E5" s="530" t="s">
        <v>548</v>
      </c>
    </row>
    <row r="6" ht="15">
      <c r="E6" s="530" t="s">
        <v>549</v>
      </c>
    </row>
    <row r="7" ht="15">
      <c r="E7" s="530" t="s">
        <v>550</v>
      </c>
    </row>
    <row r="8" ht="15">
      <c r="E8" s="530" t="s">
        <v>551</v>
      </c>
    </row>
    <row r="9" ht="15">
      <c r="E9" s="530" t="s">
        <v>552</v>
      </c>
    </row>
    <row r="10" ht="15">
      <c r="A10" s="516" t="s">
        <v>362</v>
      </c>
    </row>
    <row r="11" ht="15">
      <c r="A11" s="516"/>
    </row>
    <row r="12" spans="1:6" ht="15">
      <c r="A12" s="516" t="s">
        <v>554</v>
      </c>
      <c r="E12" s="576" t="s">
        <v>1120</v>
      </c>
      <c r="F12" s="577"/>
    </row>
    <row r="13" ht="15">
      <c r="E13" s="530" t="s">
        <v>562</v>
      </c>
    </row>
    <row r="14" spans="1:6" ht="15">
      <c r="A14" s="516" t="s">
        <v>553</v>
      </c>
      <c r="D14" s="578"/>
      <c r="E14" s="576" t="s">
        <v>831</v>
      </c>
      <c r="F14" s="579"/>
    </row>
    <row r="15" spans="1:5" ht="15">
      <c r="A15" s="516" t="s">
        <v>557</v>
      </c>
      <c r="E15" s="530" t="s">
        <v>561</v>
      </c>
    </row>
    <row r="16" spans="1:6" ht="15">
      <c r="A16" s="516" t="s">
        <v>555</v>
      </c>
      <c r="E16" s="576" t="s">
        <v>1121</v>
      </c>
      <c r="F16" s="577"/>
    </row>
    <row r="17" spans="1:5" ht="15">
      <c r="A17" s="516" t="s">
        <v>556</v>
      </c>
      <c r="E17" s="530" t="s">
        <v>560</v>
      </c>
    </row>
    <row r="18" spans="1:5" ht="15">
      <c r="A18" s="516" t="s">
        <v>558</v>
      </c>
      <c r="E18" s="530"/>
    </row>
    <row r="19" spans="1:5" ht="15">
      <c r="A19" s="516" t="s">
        <v>559</v>
      </c>
      <c r="E19" s="578" t="s">
        <v>1134</v>
      </c>
    </row>
    <row r="20" ht="15">
      <c r="A20" s="516"/>
    </row>
    <row r="21" spans="1:6" ht="15">
      <c r="A21" s="701" t="s">
        <v>1135</v>
      </c>
      <c r="B21" s="701"/>
      <c r="C21" s="701"/>
      <c r="D21" s="701"/>
      <c r="E21" s="701"/>
      <c r="F21" s="701"/>
    </row>
    <row r="22" spans="1:6" s="578" customFormat="1" ht="14.25">
      <c r="A22" s="580"/>
      <c r="B22" s="581"/>
      <c r="C22" s="581" t="s">
        <v>1119</v>
      </c>
      <c r="D22" s="581"/>
      <c r="E22" s="581"/>
      <c r="F22" s="580"/>
    </row>
    <row r="24" spans="1:6" ht="57" customHeight="1" thickBot="1">
      <c r="A24" s="582" t="s">
        <v>15</v>
      </c>
      <c r="B24" s="583" t="s">
        <v>1023</v>
      </c>
      <c r="C24" s="584" t="s">
        <v>836</v>
      </c>
      <c r="D24" s="585" t="s">
        <v>1113</v>
      </c>
      <c r="E24" s="585" t="s">
        <v>1124</v>
      </c>
      <c r="F24" s="598" t="s">
        <v>1022</v>
      </c>
    </row>
    <row r="25" spans="1:6" s="591" customFormat="1" ht="44.25" customHeight="1" thickBot="1">
      <c r="A25" s="586" t="s">
        <v>1017</v>
      </c>
      <c r="B25" s="589"/>
      <c r="C25" s="589"/>
      <c r="D25" s="589"/>
      <c r="E25" s="590"/>
      <c r="F25" s="705" t="s">
        <v>1130</v>
      </c>
    </row>
    <row r="26" spans="1:6" s="594" customFormat="1" ht="15" customHeight="1" thickBot="1">
      <c r="A26" s="353" t="s">
        <v>1122</v>
      </c>
      <c r="B26" s="592"/>
      <c r="C26" s="592"/>
      <c r="D26" s="592"/>
      <c r="E26" s="593">
        <f>E28</f>
        <v>272211.82</v>
      </c>
      <c r="F26" s="706"/>
    </row>
    <row r="27" spans="1:6" s="594" customFormat="1" ht="18.75" customHeight="1" thickBot="1">
      <c r="A27" s="268" t="s">
        <v>379</v>
      </c>
      <c r="B27" s="592"/>
      <c r="C27" s="595"/>
      <c r="D27" s="592"/>
      <c r="E27" s="593"/>
      <c r="F27" s="706"/>
    </row>
    <row r="28" spans="1:6" s="594" customFormat="1" ht="59.25" customHeight="1" thickBot="1">
      <c r="A28" s="384" t="s">
        <v>1036</v>
      </c>
      <c r="B28" s="592">
        <v>5</v>
      </c>
      <c r="C28" s="595" t="s">
        <v>825</v>
      </c>
      <c r="D28" s="592" t="s">
        <v>1123</v>
      </c>
      <c r="E28" s="593">
        <v>272211.82</v>
      </c>
      <c r="F28" s="707"/>
    </row>
    <row r="29" spans="1:6" s="591" customFormat="1" ht="33.75" customHeight="1" thickBot="1">
      <c r="A29" s="614" t="s">
        <v>1132</v>
      </c>
      <c r="B29" s="589"/>
      <c r="C29" s="589"/>
      <c r="D29" s="589"/>
      <c r="E29" s="596">
        <f>E30+E32+E33+E34</f>
        <v>272211.82</v>
      </c>
      <c r="F29" s="616"/>
    </row>
    <row r="30" spans="1:6" s="591" customFormat="1" ht="18" customHeight="1" thickBot="1">
      <c r="A30" s="306" t="s">
        <v>1024</v>
      </c>
      <c r="B30" s="589">
        <v>5</v>
      </c>
      <c r="C30" s="595" t="s">
        <v>825</v>
      </c>
      <c r="D30" s="589" t="s">
        <v>1138</v>
      </c>
      <c r="E30" s="590">
        <f>'Прилож 11(226)'!F39</f>
        <v>38448</v>
      </c>
      <c r="F30" s="702" t="s">
        <v>1130</v>
      </c>
    </row>
    <row r="31" spans="1:6" s="591" customFormat="1" ht="18.75" customHeight="1" thickBot="1">
      <c r="A31" s="615" t="s">
        <v>1133</v>
      </c>
      <c r="B31" s="589"/>
      <c r="C31" s="595"/>
      <c r="D31" s="589"/>
      <c r="E31" s="590"/>
      <c r="F31" s="703"/>
    </row>
    <row r="32" spans="1:6" s="591" customFormat="1" ht="21" customHeight="1" thickBot="1">
      <c r="A32" s="384" t="s">
        <v>323</v>
      </c>
      <c r="B32" s="589">
        <v>5</v>
      </c>
      <c r="C32" s="595" t="s">
        <v>825</v>
      </c>
      <c r="D32" s="589" t="s">
        <v>1137</v>
      </c>
      <c r="E32" s="590">
        <v>113950.72</v>
      </c>
      <c r="F32" s="703"/>
    </row>
    <row r="33" spans="1:6" s="591" customFormat="1" ht="41.25" customHeight="1" thickBot="1">
      <c r="A33" s="384" t="s">
        <v>1131</v>
      </c>
      <c r="B33" s="589">
        <v>5</v>
      </c>
      <c r="C33" s="595" t="s">
        <v>825</v>
      </c>
      <c r="D33" s="589" t="s">
        <v>1136</v>
      </c>
      <c r="E33" s="590">
        <v>34413.1</v>
      </c>
      <c r="F33" s="703"/>
    </row>
    <row r="34" spans="1:6" s="591" customFormat="1" ht="41.25" customHeight="1" thickBot="1">
      <c r="A34" s="384" t="s">
        <v>324</v>
      </c>
      <c r="B34" s="589">
        <v>5</v>
      </c>
      <c r="C34" s="595" t="s">
        <v>825</v>
      </c>
      <c r="D34" s="589" t="s">
        <v>1139</v>
      </c>
      <c r="E34" s="590">
        <v>85400</v>
      </c>
      <c r="F34" s="704"/>
    </row>
    <row r="35" spans="2:6" ht="15">
      <c r="B35" s="530"/>
      <c r="C35" s="597"/>
      <c r="D35" s="530"/>
      <c r="E35" s="530"/>
      <c r="F35" s="587"/>
    </row>
    <row r="36" ht="15">
      <c r="A36" s="572" t="s">
        <v>1033</v>
      </c>
    </row>
    <row r="37" ht="15">
      <c r="A37" s="572" t="s">
        <v>1034</v>
      </c>
    </row>
    <row r="39" spans="1:5" ht="15">
      <c r="A39" s="572" t="s">
        <v>207</v>
      </c>
      <c r="E39" s="573" t="s">
        <v>980</v>
      </c>
    </row>
    <row r="40" spans="1:3" ht="15">
      <c r="A40" s="572" t="s">
        <v>1029</v>
      </c>
      <c r="C40" s="574" t="s">
        <v>563</v>
      </c>
    </row>
    <row r="43" spans="1:5" ht="15">
      <c r="A43" s="572" t="s">
        <v>185</v>
      </c>
      <c r="E43" s="573" t="s">
        <v>915</v>
      </c>
    </row>
    <row r="44" spans="1:3" ht="15">
      <c r="A44" s="572" t="s">
        <v>1029</v>
      </c>
      <c r="C44" s="574" t="s">
        <v>564</v>
      </c>
    </row>
    <row r="46" ht="15">
      <c r="A46" s="588"/>
    </row>
  </sheetData>
  <sheetProtection/>
  <mergeCells count="3">
    <mergeCell ref="A21:F21"/>
    <mergeCell ref="F30:F34"/>
    <mergeCell ref="F25:F28"/>
  </mergeCells>
  <printOptions/>
  <pageMargins left="0.2362204724409449" right="0.2362204724409449" top="0.15748031496062992" bottom="0.15748031496062992"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J75"/>
  <sheetViews>
    <sheetView zoomScalePageLayoutView="0" workbookViewId="0" topLeftCell="A16">
      <selection activeCell="G62" sqref="G62"/>
    </sheetView>
  </sheetViews>
  <sheetFormatPr defaultColWidth="9.00390625" defaultRowHeight="12.75"/>
  <cols>
    <col min="1" max="1" width="16.875" style="0" customWidth="1"/>
    <col min="2" max="3" width="27.125" style="0" customWidth="1"/>
    <col min="4" max="4" width="16.00390625" style="0" customWidth="1"/>
    <col min="5" max="5" width="18.75390625" style="0" customWidth="1"/>
    <col min="6" max="6" width="20.25390625" style="0" customWidth="1"/>
    <col min="7" max="7" width="18.125" style="0" customWidth="1"/>
  </cols>
  <sheetData>
    <row r="1" ht="15">
      <c r="E1" s="204" t="s">
        <v>565</v>
      </c>
    </row>
    <row r="3" ht="15">
      <c r="E3" s="204" t="s">
        <v>540</v>
      </c>
    </row>
    <row r="4" ht="15">
      <c r="E4" s="204" t="s">
        <v>541</v>
      </c>
    </row>
    <row r="5" ht="15">
      <c r="E5" s="204" t="s">
        <v>566</v>
      </c>
    </row>
    <row r="6" ht="15">
      <c r="E6" s="204" t="s">
        <v>567</v>
      </c>
    </row>
    <row r="7" ht="15">
      <c r="E7" s="204" t="s">
        <v>568</v>
      </c>
    </row>
    <row r="8" ht="15">
      <c r="E8" s="204" t="s">
        <v>569</v>
      </c>
    </row>
    <row r="12" spans="1:7" ht="18" customHeight="1">
      <c r="A12" s="708" t="s">
        <v>633</v>
      </c>
      <c r="B12" s="708"/>
      <c r="C12" s="708"/>
      <c r="D12" s="708"/>
      <c r="E12" s="708"/>
      <c r="F12" s="708"/>
      <c r="G12" s="708"/>
    </row>
    <row r="14" s="379" customFormat="1" ht="12.75">
      <c r="C14" s="379" t="s">
        <v>831</v>
      </c>
    </row>
    <row r="15" spans="1:8" ht="15">
      <c r="A15" s="709" t="s">
        <v>187</v>
      </c>
      <c r="B15" s="710"/>
      <c r="C15" s="710"/>
      <c r="D15" s="710"/>
      <c r="E15" s="710"/>
      <c r="F15" s="710"/>
      <c r="G15" s="710"/>
      <c r="H15" s="710"/>
    </row>
    <row r="16" spans="1:7" ht="12.75">
      <c r="A16" s="233"/>
      <c r="B16" s="233"/>
      <c r="C16" s="234"/>
      <c r="D16" s="234"/>
      <c r="E16" s="234"/>
      <c r="F16" s="233"/>
      <c r="G16" s="233"/>
    </row>
    <row r="17" spans="3:10" ht="13.5" thickBot="1">
      <c r="C17" s="711" t="s">
        <v>632</v>
      </c>
      <c r="D17" s="711"/>
      <c r="E17" s="711"/>
      <c r="F17" s="235"/>
      <c r="G17" s="235"/>
      <c r="H17" s="235"/>
      <c r="I17" s="235"/>
      <c r="J17" s="235"/>
    </row>
    <row r="18" spans="1:7" ht="26.25" thickBot="1">
      <c r="A18" s="209" t="s">
        <v>570</v>
      </c>
      <c r="B18" s="209" t="s">
        <v>542</v>
      </c>
      <c r="C18" s="209" t="s">
        <v>571</v>
      </c>
      <c r="D18" s="209" t="s">
        <v>543</v>
      </c>
      <c r="E18" s="209" t="s">
        <v>572</v>
      </c>
      <c r="F18" s="207" t="s">
        <v>573</v>
      </c>
      <c r="G18" s="209" t="s">
        <v>574</v>
      </c>
    </row>
    <row r="19" spans="1:7" ht="13.5" thickBot="1">
      <c r="A19" s="209" t="s">
        <v>575</v>
      </c>
      <c r="B19" s="209" t="s">
        <v>576</v>
      </c>
      <c r="C19" s="209" t="s">
        <v>577</v>
      </c>
      <c r="D19" s="209" t="s">
        <v>578</v>
      </c>
      <c r="E19" s="209" t="s">
        <v>579</v>
      </c>
      <c r="F19" s="209" t="s">
        <v>580</v>
      </c>
      <c r="G19" s="209" t="s">
        <v>581</v>
      </c>
    </row>
    <row r="20" spans="1:7" ht="26.25" thickBot="1">
      <c r="A20" s="224" t="s">
        <v>582</v>
      </c>
      <c r="B20" s="225" t="s">
        <v>583</v>
      </c>
      <c r="C20" s="211" t="s">
        <v>584</v>
      </c>
      <c r="D20" s="217" t="s">
        <v>585</v>
      </c>
      <c r="E20" s="217" t="s">
        <v>586</v>
      </c>
      <c r="F20" s="217" t="s">
        <v>587</v>
      </c>
      <c r="G20" s="210"/>
    </row>
    <row r="21" spans="1:7" ht="13.5" thickBot="1">
      <c r="A21" s="226"/>
      <c r="B21" s="227" t="s">
        <v>588</v>
      </c>
      <c r="C21" s="220" t="s">
        <v>589</v>
      </c>
      <c r="D21" s="219"/>
      <c r="E21" s="212"/>
      <c r="F21" s="212"/>
      <c r="G21" s="210"/>
    </row>
    <row r="22" spans="1:7" ht="13.5" thickBot="1">
      <c r="A22" s="226"/>
      <c r="B22" s="227" t="s">
        <v>590</v>
      </c>
      <c r="C22" s="220" t="s">
        <v>591</v>
      </c>
      <c r="D22" s="219"/>
      <c r="E22" s="212"/>
      <c r="F22" s="212"/>
      <c r="G22" s="210"/>
    </row>
    <row r="23" spans="1:7" ht="13.5" thickBot="1">
      <c r="A23" s="226"/>
      <c r="B23" s="228"/>
      <c r="C23" s="220" t="s">
        <v>592</v>
      </c>
      <c r="D23" s="219"/>
      <c r="E23" s="212"/>
      <c r="F23" s="212"/>
      <c r="G23" s="210"/>
    </row>
    <row r="24" spans="1:7" ht="13.5" thickBot="1">
      <c r="A24" s="226"/>
      <c r="B24" s="228"/>
      <c r="C24" s="210" t="s">
        <v>593</v>
      </c>
      <c r="D24" s="219"/>
      <c r="E24" s="212"/>
      <c r="F24" s="212"/>
      <c r="G24" s="210"/>
    </row>
    <row r="25" spans="1:7" ht="26.25" thickBot="1">
      <c r="A25" s="226"/>
      <c r="B25" s="228"/>
      <c r="C25" s="229" t="s">
        <v>594</v>
      </c>
      <c r="D25" s="217" t="s">
        <v>595</v>
      </c>
      <c r="E25" s="212"/>
      <c r="F25" s="212"/>
      <c r="G25" s="210"/>
    </row>
    <row r="26" spans="1:7" ht="14.25" thickBot="1">
      <c r="A26" s="226"/>
      <c r="B26" s="228"/>
      <c r="C26" s="210" t="s">
        <v>596</v>
      </c>
      <c r="D26" s="217" t="s">
        <v>597</v>
      </c>
      <c r="E26" s="217" t="s">
        <v>586</v>
      </c>
      <c r="F26" s="217" t="s">
        <v>587</v>
      </c>
      <c r="G26" s="210"/>
    </row>
    <row r="27" spans="1:7" ht="13.5" thickBot="1">
      <c r="A27" s="226"/>
      <c r="B27" s="228"/>
      <c r="C27" s="220" t="s">
        <v>598</v>
      </c>
      <c r="D27" s="219"/>
      <c r="E27" s="212"/>
      <c r="F27" s="212"/>
      <c r="G27" s="210"/>
    </row>
    <row r="28" spans="1:7" ht="13.5" thickBot="1">
      <c r="A28" s="226"/>
      <c r="B28" s="228"/>
      <c r="C28" s="220" t="s">
        <v>599</v>
      </c>
      <c r="D28" s="219"/>
      <c r="E28" s="212"/>
      <c r="F28" s="212"/>
      <c r="G28" s="210"/>
    </row>
    <row r="29" spans="1:7" ht="26.25" thickBot="1">
      <c r="A29" s="226"/>
      <c r="B29" s="228"/>
      <c r="C29" s="229" t="s">
        <v>600</v>
      </c>
      <c r="D29" s="217" t="s">
        <v>601</v>
      </c>
      <c r="E29" s="217" t="s">
        <v>586</v>
      </c>
      <c r="F29" s="217" t="s">
        <v>587</v>
      </c>
      <c r="G29" s="210"/>
    </row>
    <row r="30" spans="1:7" ht="13.5" thickBot="1">
      <c r="A30" s="226"/>
      <c r="B30" s="228"/>
      <c r="C30" s="220" t="s">
        <v>602</v>
      </c>
      <c r="D30" s="219"/>
      <c r="E30" s="212"/>
      <c r="F30" s="212"/>
      <c r="G30" s="210"/>
    </row>
    <row r="31" spans="1:7" ht="13.5" thickBot="1">
      <c r="A31" s="226"/>
      <c r="B31" s="228"/>
      <c r="C31" s="220" t="s">
        <v>603</v>
      </c>
      <c r="D31" s="219"/>
      <c r="E31" s="212"/>
      <c r="F31" s="212"/>
      <c r="G31" s="210"/>
    </row>
    <row r="32" spans="1:7" ht="13.5" thickBot="1">
      <c r="A32" s="226"/>
      <c r="B32" s="228"/>
      <c r="C32" s="220" t="s">
        <v>599</v>
      </c>
      <c r="D32" s="219"/>
      <c r="E32" s="212"/>
      <c r="F32" s="212"/>
      <c r="G32" s="210"/>
    </row>
    <row r="33" spans="1:7" ht="13.5" thickBot="1">
      <c r="A33" s="226"/>
      <c r="B33" s="228"/>
      <c r="C33" s="210" t="s">
        <v>593</v>
      </c>
      <c r="D33" s="219"/>
      <c r="E33" s="212"/>
      <c r="F33" s="212"/>
      <c r="G33" s="210"/>
    </row>
    <row r="34" spans="1:7" ht="13.5" thickBot="1">
      <c r="A34" s="226"/>
      <c r="B34" s="228"/>
      <c r="C34" s="210" t="s">
        <v>604</v>
      </c>
      <c r="D34" s="217" t="s">
        <v>605</v>
      </c>
      <c r="E34" s="212"/>
      <c r="F34" s="212"/>
      <c r="G34" s="210"/>
    </row>
    <row r="35" spans="1:7" ht="13.5" thickBot="1">
      <c r="A35" s="230"/>
      <c r="B35" s="231"/>
      <c r="C35" s="220" t="s">
        <v>606</v>
      </c>
      <c r="D35" s="214" t="s">
        <v>607</v>
      </c>
      <c r="E35" s="212"/>
      <c r="F35" s="212"/>
      <c r="G35" s="210"/>
    </row>
    <row r="36" spans="1:7" ht="13.5" thickBot="1">
      <c r="A36" s="212"/>
      <c r="B36" s="210"/>
      <c r="C36" s="210" t="s">
        <v>608</v>
      </c>
      <c r="D36" s="217" t="s">
        <v>609</v>
      </c>
      <c r="E36" s="212"/>
      <c r="F36" s="212"/>
      <c r="G36" s="210"/>
    </row>
    <row r="37" spans="1:7" ht="13.5" thickBot="1">
      <c r="A37" s="721"/>
      <c r="B37" s="721"/>
      <c r="C37" s="220" t="s">
        <v>610</v>
      </c>
      <c r="D37" s="214" t="s">
        <v>609</v>
      </c>
      <c r="E37" s="210"/>
      <c r="F37" s="210"/>
      <c r="G37" s="210"/>
    </row>
    <row r="38" spans="1:7" ht="13.5" thickBot="1">
      <c r="A38" s="722"/>
      <c r="B38" s="722"/>
      <c r="C38" s="210" t="s">
        <v>611</v>
      </c>
      <c r="D38" s="217" t="s">
        <v>609</v>
      </c>
      <c r="E38" s="210"/>
      <c r="F38" s="210"/>
      <c r="G38" s="210"/>
    </row>
    <row r="39" spans="1:7" ht="13.5" thickBot="1">
      <c r="A39" s="718" t="s">
        <v>612</v>
      </c>
      <c r="B39" s="719"/>
      <c r="C39" s="720"/>
      <c r="D39" s="232"/>
      <c r="E39" s="210"/>
      <c r="F39" s="210"/>
      <c r="G39" s="210"/>
    </row>
    <row r="40" spans="1:7" ht="13.5" thickBot="1">
      <c r="A40" s="723" t="s">
        <v>613</v>
      </c>
      <c r="B40" s="715" t="s">
        <v>614</v>
      </c>
      <c r="C40" s="220" t="s">
        <v>615</v>
      </c>
      <c r="D40" s="232"/>
      <c r="E40" s="210"/>
      <c r="F40" s="210"/>
      <c r="G40" s="210"/>
    </row>
    <row r="41" spans="1:7" ht="13.5" thickBot="1">
      <c r="A41" s="724"/>
      <c r="B41" s="716"/>
      <c r="C41" s="220" t="s">
        <v>616</v>
      </c>
      <c r="D41" s="232"/>
      <c r="E41" s="210"/>
      <c r="F41" s="210"/>
      <c r="G41" s="210"/>
    </row>
    <row r="42" spans="1:7" ht="13.5" thickBot="1">
      <c r="A42" s="724"/>
      <c r="B42" s="717"/>
      <c r="C42" s="210" t="s">
        <v>617</v>
      </c>
      <c r="D42" s="232"/>
      <c r="E42" s="210"/>
      <c r="F42" s="210"/>
      <c r="G42" s="210"/>
    </row>
    <row r="43" spans="1:7" ht="13.5" thickBot="1">
      <c r="A43" s="724"/>
      <c r="B43" s="726" t="s">
        <v>618</v>
      </c>
      <c r="C43" s="210" t="s">
        <v>615</v>
      </c>
      <c r="D43" s="232"/>
      <c r="E43" s="210"/>
      <c r="F43" s="210"/>
      <c r="G43" s="210"/>
    </row>
    <row r="44" spans="1:7" ht="13.5" thickBot="1">
      <c r="A44" s="725"/>
      <c r="B44" s="727"/>
      <c r="C44" s="210" t="s">
        <v>617</v>
      </c>
      <c r="D44" s="232"/>
      <c r="E44" s="210"/>
      <c r="F44" s="210"/>
      <c r="G44" s="210"/>
    </row>
    <row r="45" spans="1:7" ht="13.5" thickBot="1">
      <c r="A45" s="712" t="s">
        <v>619</v>
      </c>
      <c r="B45" s="713"/>
      <c r="C45" s="714"/>
      <c r="D45" s="232"/>
      <c r="E45" s="210"/>
      <c r="F45" s="210"/>
      <c r="G45" s="210"/>
    </row>
    <row r="46" spans="1:7" ht="13.5" thickBot="1">
      <c r="A46" s="715" t="s">
        <v>620</v>
      </c>
      <c r="B46" s="715" t="s">
        <v>621</v>
      </c>
      <c r="C46" s="210" t="s">
        <v>622</v>
      </c>
      <c r="D46" s="217" t="s">
        <v>585</v>
      </c>
      <c r="E46" s="210"/>
      <c r="F46" s="210"/>
      <c r="G46" s="210"/>
    </row>
    <row r="47" spans="1:7" ht="13.5" thickBot="1">
      <c r="A47" s="716"/>
      <c r="B47" s="716"/>
      <c r="C47" s="220" t="s">
        <v>623</v>
      </c>
      <c r="D47" s="214" t="s">
        <v>595</v>
      </c>
      <c r="E47" s="210"/>
      <c r="F47" s="210"/>
      <c r="G47" s="210"/>
    </row>
    <row r="48" spans="1:7" ht="13.5" thickBot="1">
      <c r="A48" s="716"/>
      <c r="B48" s="716"/>
      <c r="C48" s="210" t="s">
        <v>624</v>
      </c>
      <c r="D48" s="217" t="s">
        <v>597</v>
      </c>
      <c r="E48" s="210"/>
      <c r="F48" s="210"/>
      <c r="G48" s="210"/>
    </row>
    <row r="49" spans="1:7" ht="26.25" thickBot="1">
      <c r="A49" s="716"/>
      <c r="B49" s="716"/>
      <c r="C49" s="211" t="s">
        <v>625</v>
      </c>
      <c r="D49" s="217" t="s">
        <v>601</v>
      </c>
      <c r="E49" s="210"/>
      <c r="F49" s="210"/>
      <c r="G49" s="210"/>
    </row>
    <row r="50" spans="1:7" ht="13.5" thickBot="1">
      <c r="A50" s="717"/>
      <c r="B50" s="717"/>
      <c r="C50" s="210" t="s">
        <v>593</v>
      </c>
      <c r="D50" s="232"/>
      <c r="E50" s="210"/>
      <c r="F50" s="210"/>
      <c r="G50" s="210"/>
    </row>
    <row r="51" spans="1:7" ht="13.5" thickBot="1">
      <c r="A51" s="718" t="s">
        <v>626</v>
      </c>
      <c r="B51" s="719"/>
      <c r="C51" s="720"/>
      <c r="D51" s="232"/>
      <c r="E51" s="210"/>
      <c r="F51" s="210"/>
      <c r="G51" s="210"/>
    </row>
    <row r="52" spans="1:7" ht="13.5" thickBot="1">
      <c r="A52" s="712" t="s">
        <v>627</v>
      </c>
      <c r="B52" s="713"/>
      <c r="C52" s="714"/>
      <c r="D52" s="232"/>
      <c r="E52" s="210"/>
      <c r="F52" s="210"/>
      <c r="G52" s="210"/>
    </row>
    <row r="54" ht="15">
      <c r="A54" s="204" t="s">
        <v>628</v>
      </c>
    </row>
    <row r="56" ht="15">
      <c r="A56" s="204" t="s">
        <v>629</v>
      </c>
    </row>
    <row r="58" ht="12.75">
      <c r="A58" s="204" t="s">
        <v>630</v>
      </c>
    </row>
    <row r="59" ht="12.75">
      <c r="A59" s="204" t="s">
        <v>631</v>
      </c>
    </row>
    <row r="61" spans="1:6" ht="15">
      <c r="A61" s="204" t="s">
        <v>533</v>
      </c>
      <c r="C61" s="215"/>
      <c r="E61" s="289" t="s">
        <v>980</v>
      </c>
      <c r="F61" s="215"/>
    </row>
    <row r="62" spans="1:3" ht="15">
      <c r="A62" s="204" t="s">
        <v>534</v>
      </c>
      <c r="C62" s="216" t="s">
        <v>537</v>
      </c>
    </row>
    <row r="65" spans="1:6" ht="15">
      <c r="A65" s="204" t="s">
        <v>535</v>
      </c>
      <c r="C65" s="215"/>
      <c r="E65" s="215" t="s">
        <v>915</v>
      </c>
      <c r="F65" s="215"/>
    </row>
    <row r="66" spans="1:3" ht="15">
      <c r="A66" s="204" t="s">
        <v>534</v>
      </c>
      <c r="C66" s="216" t="s">
        <v>537</v>
      </c>
    </row>
    <row r="68" ht="12.75">
      <c r="A68" s="204"/>
    </row>
    <row r="70" ht="12.75">
      <c r="A70" s="204"/>
    </row>
    <row r="71" ht="12.75">
      <c r="A71" s="204"/>
    </row>
    <row r="73" ht="12.75">
      <c r="A73" s="204"/>
    </row>
    <row r="75" ht="12.75">
      <c r="A75" s="204"/>
    </row>
  </sheetData>
  <sheetProtection/>
  <mergeCells count="14">
    <mergeCell ref="A51:C51"/>
    <mergeCell ref="A52:C52"/>
    <mergeCell ref="A37:A38"/>
    <mergeCell ref="B37:B38"/>
    <mergeCell ref="A39:C39"/>
    <mergeCell ref="A40:A44"/>
    <mergeCell ref="B40:B42"/>
    <mergeCell ref="B43:B44"/>
    <mergeCell ref="A12:G12"/>
    <mergeCell ref="A15:H15"/>
    <mergeCell ref="C17:E17"/>
    <mergeCell ref="A45:C45"/>
    <mergeCell ref="A46:A50"/>
    <mergeCell ref="B46:B50"/>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M93"/>
  <sheetViews>
    <sheetView zoomScalePageLayoutView="0" workbookViewId="0" topLeftCell="A13">
      <selection activeCell="K29" sqref="K29"/>
    </sheetView>
  </sheetViews>
  <sheetFormatPr defaultColWidth="29.625" defaultRowHeight="12.75"/>
  <cols>
    <col min="1" max="1" width="31.125" style="0" customWidth="1"/>
    <col min="2" max="2" width="14.75390625" style="0" customWidth="1"/>
    <col min="3" max="3" width="10.625" style="0" customWidth="1"/>
    <col min="4" max="4" width="14.625" style="0" customWidth="1"/>
    <col min="5" max="5" width="17.875" style="0" customWidth="1"/>
    <col min="6" max="6" width="16.125" style="0" customWidth="1"/>
    <col min="7" max="7" width="17.25390625" style="0" customWidth="1"/>
    <col min="8" max="8" width="23.375" style="0" customWidth="1"/>
    <col min="9" max="9" width="26.25390625" style="0" customWidth="1"/>
    <col min="10" max="10" width="4.375" style="0" customWidth="1"/>
  </cols>
  <sheetData>
    <row r="1" ht="15">
      <c r="H1" s="204" t="s">
        <v>634</v>
      </c>
    </row>
    <row r="3" ht="15">
      <c r="H3" s="204" t="s">
        <v>540</v>
      </c>
    </row>
    <row r="4" ht="15">
      <c r="H4" s="204" t="s">
        <v>541</v>
      </c>
    </row>
    <row r="5" ht="15">
      <c r="H5" s="204" t="s">
        <v>566</v>
      </c>
    </row>
    <row r="6" ht="15">
      <c r="H6" s="204" t="s">
        <v>567</v>
      </c>
    </row>
    <row r="7" ht="15">
      <c r="H7" s="204" t="s">
        <v>568</v>
      </c>
    </row>
    <row r="8" ht="15">
      <c r="H8" s="204" t="s">
        <v>569</v>
      </c>
    </row>
    <row r="10" spans="1:9" ht="15.75">
      <c r="A10" s="734" t="s">
        <v>992</v>
      </c>
      <c r="B10" s="735"/>
      <c r="C10" s="735"/>
      <c r="D10" s="735"/>
      <c r="E10" s="735"/>
      <c r="F10" s="735"/>
      <c r="G10" s="735"/>
      <c r="H10" s="735"/>
      <c r="I10" s="735"/>
    </row>
    <row r="11" spans="1:9" ht="12.75">
      <c r="A11" s="736" t="s">
        <v>831</v>
      </c>
      <c r="B11" s="736"/>
      <c r="C11" s="736"/>
      <c r="D11" s="736"/>
      <c r="E11" s="736"/>
      <c r="F11" s="736"/>
      <c r="G11" s="736"/>
      <c r="H11" s="736"/>
      <c r="I11" s="736"/>
    </row>
    <row r="12" ht="13.5" thickBot="1"/>
    <row r="13" spans="1:9" ht="13.5" thickBot="1">
      <c r="A13" s="737" t="s">
        <v>635</v>
      </c>
      <c r="B13" s="728" t="s">
        <v>636</v>
      </c>
      <c r="C13" s="730" t="s">
        <v>637</v>
      </c>
      <c r="D13" s="731"/>
      <c r="E13" s="731"/>
      <c r="F13" s="732"/>
      <c r="G13" s="728" t="s">
        <v>638</v>
      </c>
      <c r="H13" s="728" t="s">
        <v>639</v>
      </c>
      <c r="I13" s="733" t="s">
        <v>654</v>
      </c>
    </row>
    <row r="14" spans="1:9" ht="48" customHeight="1" thickBot="1">
      <c r="A14" s="738"/>
      <c r="B14" s="729"/>
      <c r="C14" s="207" t="s">
        <v>640</v>
      </c>
      <c r="D14" s="271" t="s">
        <v>993</v>
      </c>
      <c r="E14" s="271" t="s">
        <v>994</v>
      </c>
      <c r="F14" s="271" t="s">
        <v>995</v>
      </c>
      <c r="G14" s="729"/>
      <c r="H14" s="729"/>
      <c r="I14" s="729"/>
    </row>
    <row r="15" spans="1:9" ht="13.5" thickBot="1">
      <c r="A15" s="238" t="s">
        <v>657</v>
      </c>
      <c r="B15" s="406">
        <f>SUM(B16:B27)</f>
        <v>5.25</v>
      </c>
      <c r="C15" s="407">
        <f aca="true" t="shared" si="0" ref="C15:I15">SUM(C16:C27)</f>
        <v>213.142</v>
      </c>
      <c r="D15" s="407">
        <f t="shared" si="0"/>
        <v>67.34</v>
      </c>
      <c r="E15" s="407">
        <f t="shared" si="0"/>
        <v>21.242</v>
      </c>
      <c r="F15" s="407">
        <f t="shared" si="0"/>
        <v>124.56</v>
      </c>
      <c r="G15" s="407">
        <f t="shared" si="0"/>
        <v>0</v>
      </c>
      <c r="H15" s="407">
        <f t="shared" si="0"/>
        <v>2576.344</v>
      </c>
      <c r="I15" s="407">
        <f t="shared" si="0"/>
        <v>778.055888</v>
      </c>
    </row>
    <row r="16" spans="1:9" ht="12.75">
      <c r="A16" s="408" t="s">
        <v>641</v>
      </c>
      <c r="B16" s="409"/>
      <c r="C16" s="410"/>
      <c r="D16" s="410"/>
      <c r="E16" s="410"/>
      <c r="F16" s="410"/>
      <c r="G16" s="410"/>
      <c r="H16" s="410"/>
      <c r="I16" s="411"/>
    </row>
    <row r="17" spans="1:9" ht="24">
      <c r="A17" s="412" t="s">
        <v>642</v>
      </c>
      <c r="B17" s="413"/>
      <c r="C17" s="414"/>
      <c r="D17" s="414"/>
      <c r="E17" s="414"/>
      <c r="F17" s="414"/>
      <c r="G17" s="414"/>
      <c r="H17" s="414"/>
      <c r="I17" s="411"/>
    </row>
    <row r="18" spans="1:12" ht="24">
      <c r="A18" s="412" t="s">
        <v>643</v>
      </c>
      <c r="B18" s="413"/>
      <c r="C18" s="414"/>
      <c r="D18" s="414"/>
      <c r="E18" s="414"/>
      <c r="F18" s="414"/>
      <c r="G18" s="414"/>
      <c r="H18" s="414"/>
      <c r="I18" s="411"/>
      <c r="L18" s="415"/>
    </row>
    <row r="19" spans="1:9" ht="48">
      <c r="A19" s="412" t="s">
        <v>644</v>
      </c>
      <c r="B19" s="413"/>
      <c r="C19" s="414">
        <f>D19+E19+F19</f>
        <v>53.3</v>
      </c>
      <c r="D19" s="414"/>
      <c r="E19" s="414"/>
      <c r="F19" s="414">
        <v>53.3</v>
      </c>
      <c r="G19" s="414"/>
      <c r="H19" s="414">
        <f>C19*12</f>
        <v>639.5999999999999</v>
      </c>
      <c r="I19" s="411">
        <f aca="true" t="shared" si="1" ref="I19:I26">H19*30.2%</f>
        <v>193.15919999999997</v>
      </c>
    </row>
    <row r="20" spans="1:9" ht="12.75">
      <c r="A20" s="416" t="s">
        <v>645</v>
      </c>
      <c r="B20" s="413"/>
      <c r="C20" s="414"/>
      <c r="D20" s="414"/>
      <c r="E20" s="414"/>
      <c r="F20" s="414"/>
      <c r="G20" s="414"/>
      <c r="H20" s="414"/>
      <c r="I20" s="411"/>
    </row>
    <row r="21" spans="1:9" ht="60">
      <c r="A21" s="417" t="s">
        <v>656</v>
      </c>
      <c r="B21" s="413"/>
      <c r="C21" s="414">
        <f>D21+E21+F21</f>
        <v>38.6</v>
      </c>
      <c r="D21" s="414"/>
      <c r="E21" s="414"/>
      <c r="F21" s="414">
        <v>38.6</v>
      </c>
      <c r="G21" s="414"/>
      <c r="H21" s="414">
        <f>C21*12</f>
        <v>463.20000000000005</v>
      </c>
      <c r="I21" s="411">
        <f t="shared" si="1"/>
        <v>139.8864</v>
      </c>
    </row>
    <row r="22" spans="1:9" ht="12.75">
      <c r="A22" s="416" t="s">
        <v>646</v>
      </c>
      <c r="B22" s="413"/>
      <c r="C22" s="414"/>
      <c r="D22" s="414"/>
      <c r="E22" s="414"/>
      <c r="F22" s="414"/>
      <c r="G22" s="414"/>
      <c r="H22" s="414"/>
      <c r="I22" s="411"/>
    </row>
    <row r="23" spans="1:9" ht="12.75">
      <c r="A23" s="416" t="s">
        <v>647</v>
      </c>
      <c r="B23" s="413"/>
      <c r="C23" s="414"/>
      <c r="D23" s="414"/>
      <c r="E23" s="414"/>
      <c r="F23" s="414"/>
      <c r="G23" s="414"/>
      <c r="H23" s="414"/>
      <c r="I23" s="411"/>
    </row>
    <row r="24" spans="1:9" ht="12.75">
      <c r="A24" s="418" t="s">
        <v>996</v>
      </c>
      <c r="B24" s="413">
        <v>4.25</v>
      </c>
      <c r="C24" s="414">
        <f>D24+E24+F24</f>
        <v>100</v>
      </c>
      <c r="D24" s="414">
        <f>(12.95+12.95*30%)*4</f>
        <v>67.34</v>
      </c>
      <c r="E24" s="414"/>
      <c r="F24" s="414">
        <f>8.165*4</f>
        <v>32.66</v>
      </c>
      <c r="G24" s="414"/>
      <c r="H24" s="414">
        <f>C24*12+18.64</f>
        <v>1218.64</v>
      </c>
      <c r="I24" s="411">
        <f t="shared" si="1"/>
        <v>368.02928</v>
      </c>
    </row>
    <row r="25" spans="1:9" ht="12.75">
      <c r="A25" s="416" t="s">
        <v>649</v>
      </c>
      <c r="B25" s="413"/>
      <c r="C25" s="414">
        <f>D25+E25+F25</f>
        <v>0</v>
      </c>
      <c r="D25" s="414"/>
      <c r="E25" s="414"/>
      <c r="F25" s="414"/>
      <c r="G25" s="414"/>
      <c r="H25" s="414"/>
      <c r="I25" s="411"/>
    </row>
    <row r="26" spans="1:9" ht="12.75">
      <c r="A26" s="419" t="s">
        <v>997</v>
      </c>
      <c r="B26" s="413">
        <v>1</v>
      </c>
      <c r="C26" s="414">
        <f>D26+E26+F26</f>
        <v>21.242</v>
      </c>
      <c r="D26" s="414"/>
      <c r="E26" s="420">
        <v>21.242</v>
      </c>
      <c r="F26" s="414"/>
      <c r="G26" s="414"/>
      <c r="H26" s="420">
        <f>C26*12</f>
        <v>254.904</v>
      </c>
      <c r="I26" s="411">
        <f t="shared" si="1"/>
        <v>76.981008</v>
      </c>
    </row>
    <row r="27" spans="1:9" ht="13.5" thickBot="1">
      <c r="A27" s="421" t="s">
        <v>651</v>
      </c>
      <c r="B27" s="422"/>
      <c r="C27" s="423"/>
      <c r="D27" s="423"/>
      <c r="E27" s="423"/>
      <c r="F27" s="423"/>
      <c r="G27" s="423"/>
      <c r="H27" s="423"/>
      <c r="I27" s="411"/>
    </row>
    <row r="28" spans="1:9" ht="24.75" thickBot="1">
      <c r="A28" s="239" t="s">
        <v>658</v>
      </c>
      <c r="B28" s="406">
        <f>SUM(B29:B40)</f>
        <v>0</v>
      </c>
      <c r="C28" s="407">
        <f aca="true" t="shared" si="2" ref="C28:I28">SUM(C29:C40)</f>
        <v>15.783333333333333</v>
      </c>
      <c r="D28" s="407">
        <f t="shared" si="2"/>
        <v>0</v>
      </c>
      <c r="E28" s="407">
        <f t="shared" si="2"/>
        <v>0</v>
      </c>
      <c r="F28" s="407">
        <f t="shared" si="2"/>
        <v>15.783333333333333</v>
      </c>
      <c r="G28" s="407">
        <f t="shared" si="2"/>
        <v>0</v>
      </c>
      <c r="H28" s="407">
        <f t="shared" si="2"/>
        <v>189.39999999999998</v>
      </c>
      <c r="I28" s="407">
        <f t="shared" si="2"/>
        <v>57.198800000000006</v>
      </c>
    </row>
    <row r="29" spans="1:9" ht="12.75">
      <c r="A29" s="408" t="s">
        <v>641</v>
      </c>
      <c r="B29" s="409"/>
      <c r="C29" s="424">
        <f>D29+E29+F29</f>
        <v>2.4499999999999997</v>
      </c>
      <c r="D29" s="410"/>
      <c r="E29" s="410"/>
      <c r="F29" s="410">
        <f>29.4/12</f>
        <v>2.4499999999999997</v>
      </c>
      <c r="G29" s="410"/>
      <c r="H29" s="424">
        <f>C29*12</f>
        <v>29.4</v>
      </c>
      <c r="I29" s="411">
        <f aca="true" t="shared" si="3" ref="I29:I40">H29*30.2%</f>
        <v>8.8788</v>
      </c>
    </row>
    <row r="30" spans="1:11" ht="24">
      <c r="A30" s="412" t="s">
        <v>642</v>
      </c>
      <c r="B30" s="413"/>
      <c r="C30" s="414"/>
      <c r="D30" s="414"/>
      <c r="E30" s="414"/>
      <c r="F30" s="414"/>
      <c r="G30" s="414"/>
      <c r="H30" s="414"/>
      <c r="I30" s="411">
        <f t="shared" si="3"/>
        <v>0</v>
      </c>
      <c r="K30" s="415"/>
    </row>
    <row r="31" spans="1:13" ht="24">
      <c r="A31" s="412" t="s">
        <v>652</v>
      </c>
      <c r="B31" s="413"/>
      <c r="C31" s="414"/>
      <c r="D31" s="414"/>
      <c r="E31" s="414"/>
      <c r="F31" s="414"/>
      <c r="G31" s="414"/>
      <c r="H31" s="414"/>
      <c r="I31" s="411">
        <f t="shared" si="3"/>
        <v>0</v>
      </c>
      <c r="K31" s="415"/>
      <c r="M31" s="425"/>
    </row>
    <row r="32" spans="1:13" ht="48">
      <c r="A32" s="412" t="s">
        <v>644</v>
      </c>
      <c r="B32" s="413"/>
      <c r="C32" s="424">
        <f>D32+E32+F32</f>
        <v>2.8249999999999997</v>
      </c>
      <c r="D32" s="414"/>
      <c r="E32" s="414"/>
      <c r="F32" s="420">
        <f>33.9/12</f>
        <v>2.8249999999999997</v>
      </c>
      <c r="G32" s="414"/>
      <c r="H32" s="424">
        <f>C32*12</f>
        <v>33.9</v>
      </c>
      <c r="I32" s="411">
        <f t="shared" si="3"/>
        <v>10.2378</v>
      </c>
      <c r="M32" s="425"/>
    </row>
    <row r="33" spans="1:9" ht="12.75">
      <c r="A33" s="416" t="s">
        <v>645</v>
      </c>
      <c r="B33" s="413"/>
      <c r="C33" s="414"/>
      <c r="D33" s="414"/>
      <c r="E33" s="414"/>
      <c r="F33" s="414"/>
      <c r="G33" s="414"/>
      <c r="H33" s="414"/>
      <c r="I33" s="411">
        <f t="shared" si="3"/>
        <v>0</v>
      </c>
    </row>
    <row r="34" spans="1:9" ht="60">
      <c r="A34" s="412" t="s">
        <v>653</v>
      </c>
      <c r="B34" s="413"/>
      <c r="C34" s="424">
        <f>D34+E34+F34</f>
        <v>6.866666666666667</v>
      </c>
      <c r="D34" s="414"/>
      <c r="E34" s="414"/>
      <c r="F34" s="420">
        <f>82.4/12</f>
        <v>6.866666666666667</v>
      </c>
      <c r="G34" s="414"/>
      <c r="H34" s="424">
        <f>C34*12</f>
        <v>82.4</v>
      </c>
      <c r="I34" s="411">
        <f t="shared" si="3"/>
        <v>24.884800000000002</v>
      </c>
    </row>
    <row r="35" spans="1:9" ht="12.75">
      <c r="A35" s="416" t="s">
        <v>646</v>
      </c>
      <c r="B35" s="413"/>
      <c r="C35" s="414"/>
      <c r="D35" s="414"/>
      <c r="E35" s="414"/>
      <c r="F35" s="414"/>
      <c r="G35" s="414"/>
      <c r="H35" s="414"/>
      <c r="I35" s="411">
        <f t="shared" si="3"/>
        <v>0</v>
      </c>
    </row>
    <row r="36" spans="1:9" ht="12.75">
      <c r="A36" s="416" t="s">
        <v>647</v>
      </c>
      <c r="B36" s="413"/>
      <c r="C36" s="414"/>
      <c r="D36" s="414"/>
      <c r="E36" s="414"/>
      <c r="F36" s="414"/>
      <c r="G36" s="414"/>
      <c r="H36" s="414"/>
      <c r="I36" s="411">
        <f t="shared" si="3"/>
        <v>0</v>
      </c>
    </row>
    <row r="37" spans="1:9" ht="24">
      <c r="A37" s="412" t="s">
        <v>648</v>
      </c>
      <c r="B37" s="413"/>
      <c r="C37" s="414"/>
      <c r="D37" s="414"/>
      <c r="E37" s="414"/>
      <c r="F37" s="414"/>
      <c r="G37" s="414"/>
      <c r="H37" s="414"/>
      <c r="I37" s="411">
        <f t="shared" si="3"/>
        <v>0</v>
      </c>
    </row>
    <row r="38" spans="1:9" ht="12.75">
      <c r="A38" s="416" t="s">
        <v>649</v>
      </c>
      <c r="B38" s="413"/>
      <c r="C38" s="414"/>
      <c r="D38" s="414"/>
      <c r="E38" s="414"/>
      <c r="F38" s="414"/>
      <c r="G38" s="414"/>
      <c r="H38" s="414"/>
      <c r="I38" s="411">
        <f t="shared" si="3"/>
        <v>0</v>
      </c>
    </row>
    <row r="39" spans="1:9" ht="12.75">
      <c r="A39" s="416" t="s">
        <v>650</v>
      </c>
      <c r="B39" s="413"/>
      <c r="C39" s="424">
        <f>D39+E39+F39</f>
        <v>0.3333333333333333</v>
      </c>
      <c r="D39" s="414"/>
      <c r="E39" s="414"/>
      <c r="F39" s="420">
        <f>4/12</f>
        <v>0.3333333333333333</v>
      </c>
      <c r="G39" s="414"/>
      <c r="H39" s="424">
        <f>C39*12</f>
        <v>4</v>
      </c>
      <c r="I39" s="411">
        <f t="shared" si="3"/>
        <v>1.208</v>
      </c>
    </row>
    <row r="40" spans="1:9" ht="13.5" thickBot="1">
      <c r="A40" s="421" t="s">
        <v>651</v>
      </c>
      <c r="B40" s="422"/>
      <c r="C40" s="424">
        <f>D40+E40+F40</f>
        <v>3.3083333333333336</v>
      </c>
      <c r="D40" s="423"/>
      <c r="E40" s="423"/>
      <c r="F40" s="426">
        <f>39.7/12</f>
        <v>3.3083333333333336</v>
      </c>
      <c r="G40" s="423"/>
      <c r="H40" s="424">
        <f>C40*12</f>
        <v>39.7</v>
      </c>
      <c r="I40" s="411">
        <f t="shared" si="3"/>
        <v>11.9894</v>
      </c>
    </row>
    <row r="41" spans="1:9" ht="13.5" hidden="1" thickBot="1">
      <c r="A41" s="427" t="s">
        <v>657</v>
      </c>
      <c r="B41" s="428"/>
      <c r="C41" s="231"/>
      <c r="D41" s="231"/>
      <c r="E41" s="231"/>
      <c r="F41" s="231"/>
      <c r="G41" s="231"/>
      <c r="H41" s="231"/>
      <c r="I41" s="230"/>
    </row>
    <row r="42" spans="1:9" ht="13.5" hidden="1" thickBot="1">
      <c r="A42" s="220" t="s">
        <v>641</v>
      </c>
      <c r="B42" s="404"/>
      <c r="C42" s="210"/>
      <c r="D42" s="210"/>
      <c r="E42" s="210"/>
      <c r="F42" s="210"/>
      <c r="G42" s="210"/>
      <c r="H42" s="210"/>
      <c r="I42" s="212"/>
    </row>
    <row r="43" spans="1:9" ht="24.75" hidden="1" thickBot="1">
      <c r="A43" s="211" t="s">
        <v>642</v>
      </c>
      <c r="B43" s="404"/>
      <c r="C43" s="210"/>
      <c r="D43" s="210"/>
      <c r="E43" s="210"/>
      <c r="F43" s="210"/>
      <c r="G43" s="210"/>
      <c r="H43" s="210"/>
      <c r="I43" s="212"/>
    </row>
    <row r="44" spans="1:9" ht="24.75" hidden="1" thickBot="1">
      <c r="A44" s="211" t="s">
        <v>643</v>
      </c>
      <c r="B44" s="404"/>
      <c r="C44" s="210"/>
      <c r="D44" s="210"/>
      <c r="E44" s="210"/>
      <c r="F44" s="210"/>
      <c r="G44" s="210"/>
      <c r="H44" s="210"/>
      <c r="I44" s="212"/>
    </row>
    <row r="45" spans="1:9" ht="48.75" hidden="1" thickBot="1">
      <c r="A45" s="211" t="s">
        <v>644</v>
      </c>
      <c r="B45" s="404"/>
      <c r="C45" s="210"/>
      <c r="D45" s="210"/>
      <c r="E45" s="210"/>
      <c r="F45" s="210"/>
      <c r="G45" s="210"/>
      <c r="H45" s="210"/>
      <c r="I45" s="212"/>
    </row>
    <row r="46" spans="1:9" ht="13.5" hidden="1" thickBot="1">
      <c r="A46" s="220" t="s">
        <v>645</v>
      </c>
      <c r="B46" s="404"/>
      <c r="C46" s="210"/>
      <c r="D46" s="210"/>
      <c r="E46" s="210"/>
      <c r="F46" s="210"/>
      <c r="G46" s="210"/>
      <c r="H46" s="210"/>
      <c r="I46" s="212"/>
    </row>
    <row r="47" spans="1:9" ht="54" customHeight="1" hidden="1" thickBot="1">
      <c r="A47" s="237" t="s">
        <v>656</v>
      </c>
      <c r="B47" s="404"/>
      <c r="C47" s="210"/>
      <c r="D47" s="210"/>
      <c r="E47" s="210"/>
      <c r="F47" s="210"/>
      <c r="G47" s="210"/>
      <c r="H47" s="210"/>
      <c r="I47" s="212"/>
    </row>
    <row r="48" spans="1:9" ht="13.5" hidden="1" thickBot="1">
      <c r="A48" s="220" t="s">
        <v>646</v>
      </c>
      <c r="B48" s="404"/>
      <c r="C48" s="210"/>
      <c r="D48" s="210"/>
      <c r="E48" s="210"/>
      <c r="F48" s="210"/>
      <c r="G48" s="210"/>
      <c r="H48" s="210"/>
      <c r="I48" s="210"/>
    </row>
    <row r="49" spans="1:9" ht="13.5" hidden="1" thickBot="1">
      <c r="A49" s="220" t="s">
        <v>647</v>
      </c>
      <c r="B49" s="404"/>
      <c r="C49" s="210"/>
      <c r="D49" s="210"/>
      <c r="E49" s="210"/>
      <c r="F49" s="210"/>
      <c r="G49" s="210"/>
      <c r="H49" s="210"/>
      <c r="I49" s="210"/>
    </row>
    <row r="50" spans="1:9" ht="17.25" customHeight="1" hidden="1" thickBot="1">
      <c r="A50" s="211" t="s">
        <v>648</v>
      </c>
      <c r="B50" s="404"/>
      <c r="C50" s="210"/>
      <c r="D50" s="210"/>
      <c r="E50" s="210"/>
      <c r="F50" s="210"/>
      <c r="G50" s="210"/>
      <c r="H50" s="210"/>
      <c r="I50" s="210"/>
    </row>
    <row r="51" spans="1:9" ht="13.5" hidden="1" thickBot="1">
      <c r="A51" s="220" t="s">
        <v>649</v>
      </c>
      <c r="B51" s="404"/>
      <c r="C51" s="210"/>
      <c r="D51" s="210"/>
      <c r="E51" s="210"/>
      <c r="F51" s="210"/>
      <c r="G51" s="210"/>
      <c r="H51" s="210"/>
      <c r="I51" s="210"/>
    </row>
    <row r="52" spans="1:9" ht="13.5" hidden="1" thickBot="1">
      <c r="A52" s="220" t="s">
        <v>650</v>
      </c>
      <c r="B52" s="404"/>
      <c r="C52" s="210"/>
      <c r="D52" s="210"/>
      <c r="E52" s="210"/>
      <c r="F52" s="210"/>
      <c r="G52" s="210"/>
      <c r="H52" s="210"/>
      <c r="I52" s="210"/>
    </row>
    <row r="53" spans="1:9" ht="13.5" hidden="1" thickBot="1">
      <c r="A53" s="220" t="s">
        <v>651</v>
      </c>
      <c r="B53" s="404"/>
      <c r="C53" s="210"/>
      <c r="D53" s="210"/>
      <c r="E53" s="210"/>
      <c r="F53" s="210"/>
      <c r="G53" s="210"/>
      <c r="H53" s="210"/>
      <c r="I53" s="210"/>
    </row>
    <row r="54" spans="1:9" ht="24.75" hidden="1" thickBot="1">
      <c r="A54" s="239" t="s">
        <v>658</v>
      </c>
      <c r="B54" s="404"/>
      <c r="C54" s="210"/>
      <c r="D54" s="210"/>
      <c r="E54" s="210"/>
      <c r="F54" s="210"/>
      <c r="G54" s="210"/>
      <c r="H54" s="210"/>
      <c r="I54" s="210"/>
    </row>
    <row r="55" spans="1:9" ht="13.5" hidden="1" thickBot="1">
      <c r="A55" s="220" t="s">
        <v>641</v>
      </c>
      <c r="B55" s="404"/>
      <c r="C55" s="210"/>
      <c r="D55" s="210"/>
      <c r="E55" s="210"/>
      <c r="F55" s="210"/>
      <c r="G55" s="210"/>
      <c r="H55" s="210"/>
      <c r="I55" s="210"/>
    </row>
    <row r="56" spans="1:9" ht="24.75" hidden="1" thickBot="1">
      <c r="A56" s="211" t="s">
        <v>642</v>
      </c>
      <c r="B56" s="404"/>
      <c r="C56" s="210"/>
      <c r="D56" s="210"/>
      <c r="E56" s="210"/>
      <c r="F56" s="210"/>
      <c r="G56" s="210"/>
      <c r="H56" s="210"/>
      <c r="I56" s="210"/>
    </row>
    <row r="57" spans="1:9" ht="24.75" hidden="1" thickBot="1">
      <c r="A57" s="211" t="s">
        <v>652</v>
      </c>
      <c r="B57" s="404"/>
      <c r="C57" s="210"/>
      <c r="D57" s="210"/>
      <c r="E57" s="210"/>
      <c r="F57" s="210"/>
      <c r="G57" s="210"/>
      <c r="H57" s="210"/>
      <c r="I57" s="210"/>
    </row>
    <row r="58" spans="1:9" ht="48.75" hidden="1" thickBot="1">
      <c r="A58" s="211" t="s">
        <v>644</v>
      </c>
      <c r="B58" s="404"/>
      <c r="C58" s="210"/>
      <c r="D58" s="210"/>
      <c r="E58" s="210"/>
      <c r="F58" s="210"/>
      <c r="G58" s="210"/>
      <c r="H58" s="210"/>
      <c r="I58" s="210"/>
    </row>
    <row r="59" spans="1:9" ht="13.5" hidden="1" thickBot="1">
      <c r="A59" s="220" t="s">
        <v>645</v>
      </c>
      <c r="B59" s="404"/>
      <c r="C59" s="210"/>
      <c r="D59" s="210"/>
      <c r="E59" s="210"/>
      <c r="F59" s="210"/>
      <c r="G59" s="210"/>
      <c r="H59" s="210"/>
      <c r="I59" s="210"/>
    </row>
    <row r="60" spans="1:9" ht="49.5" customHeight="1" hidden="1">
      <c r="A60" s="211" t="s">
        <v>653</v>
      </c>
      <c r="B60" s="404"/>
      <c r="C60" s="210"/>
      <c r="D60" s="210"/>
      <c r="E60" s="210"/>
      <c r="F60" s="210"/>
      <c r="G60" s="210"/>
      <c r="H60" s="210"/>
      <c r="I60" s="210"/>
    </row>
    <row r="61" spans="1:9" ht="13.5" hidden="1" thickBot="1">
      <c r="A61" s="220" t="s">
        <v>646</v>
      </c>
      <c r="B61" s="404"/>
      <c r="C61" s="210"/>
      <c r="D61" s="210"/>
      <c r="E61" s="210"/>
      <c r="F61" s="210"/>
      <c r="G61" s="210"/>
      <c r="H61" s="210"/>
      <c r="I61" s="210"/>
    </row>
    <row r="62" spans="1:9" ht="13.5" hidden="1" thickBot="1">
      <c r="A62" s="220" t="s">
        <v>647</v>
      </c>
      <c r="B62" s="404"/>
      <c r="C62" s="210"/>
      <c r="D62" s="210"/>
      <c r="E62" s="210"/>
      <c r="F62" s="210"/>
      <c r="G62" s="210"/>
      <c r="H62" s="210"/>
      <c r="I62" s="210"/>
    </row>
    <row r="63" spans="1:9" ht="16.5" customHeight="1" hidden="1">
      <c r="A63" s="211" t="s">
        <v>648</v>
      </c>
      <c r="B63" s="404"/>
      <c r="C63" s="210"/>
      <c r="D63" s="210"/>
      <c r="E63" s="210"/>
      <c r="F63" s="210"/>
      <c r="G63" s="210"/>
      <c r="H63" s="210"/>
      <c r="I63" s="210"/>
    </row>
    <row r="64" spans="1:9" ht="13.5" hidden="1" thickBot="1">
      <c r="A64" s="220" t="s">
        <v>649</v>
      </c>
      <c r="B64" s="404"/>
      <c r="C64" s="210"/>
      <c r="D64" s="210"/>
      <c r="E64" s="210"/>
      <c r="F64" s="210"/>
      <c r="G64" s="210"/>
      <c r="H64" s="210"/>
      <c r="I64" s="210"/>
    </row>
    <row r="65" spans="1:9" ht="13.5" hidden="1" thickBot="1">
      <c r="A65" s="220" t="s">
        <v>650</v>
      </c>
      <c r="B65" s="404"/>
      <c r="C65" s="210"/>
      <c r="D65" s="210"/>
      <c r="E65" s="210"/>
      <c r="F65" s="210"/>
      <c r="G65" s="210"/>
      <c r="H65" s="210"/>
      <c r="I65" s="210"/>
    </row>
    <row r="66" spans="1:12" ht="13.5" hidden="1" thickBot="1">
      <c r="A66" s="429" t="s">
        <v>651</v>
      </c>
      <c r="B66" s="430"/>
      <c r="C66" s="405"/>
      <c r="D66" s="405"/>
      <c r="E66" s="405"/>
      <c r="F66" s="405"/>
      <c r="G66" s="405"/>
      <c r="H66" s="405"/>
      <c r="I66" s="405"/>
      <c r="K66" s="279">
        <v>187610</v>
      </c>
      <c r="L66" s="279">
        <f>K67+K68+K69+K70+K71+K72+K73+K74+K76+K77+K78</f>
        <v>0</v>
      </c>
    </row>
    <row r="67" spans="1:12" s="279" customFormat="1" ht="13.5" thickBot="1">
      <c r="A67" s="238" t="s">
        <v>659</v>
      </c>
      <c r="B67" s="406">
        <f aca="true" t="shared" si="4" ref="B67:G67">SUM(B68:B79)</f>
        <v>474.52</v>
      </c>
      <c r="C67" s="407">
        <f t="shared" si="4"/>
        <v>24019.18132144824</v>
      </c>
      <c r="D67" s="407">
        <f t="shared" si="4"/>
        <v>6820.125652907747</v>
      </c>
      <c r="E67" s="407">
        <f t="shared" si="4"/>
        <v>5108.410119879803</v>
      </c>
      <c r="F67" s="407">
        <f t="shared" si="4"/>
        <v>12090.645548660694</v>
      </c>
      <c r="G67" s="407">
        <f t="shared" si="4"/>
        <v>186.53400000000002</v>
      </c>
      <c r="H67" s="407">
        <v>208123.66</v>
      </c>
      <c r="I67" s="407">
        <v>62853.36</v>
      </c>
      <c r="K67"/>
      <c r="L67"/>
    </row>
    <row r="68" spans="1:9" ht="12.75">
      <c r="A68" s="408" t="s">
        <v>641</v>
      </c>
      <c r="B68" s="409">
        <v>1</v>
      </c>
      <c r="C68" s="431">
        <f>D68+F68</f>
        <v>112.28750000000001</v>
      </c>
      <c r="D68" s="431">
        <f>(20275*30%+20275)/1000</f>
        <v>26.3575</v>
      </c>
      <c r="E68" s="431"/>
      <c r="F68" s="431">
        <f>1331.7/12+2+2*30%+1.35+1.35*30%-29.4</f>
        <v>85.93</v>
      </c>
      <c r="G68" s="431">
        <f>20.275*2</f>
        <v>40.55</v>
      </c>
      <c r="H68" s="431">
        <f aca="true" t="shared" si="5" ref="H68:H75">C68*12</f>
        <v>1347.45</v>
      </c>
      <c r="I68" s="432">
        <f>H68*30.2%</f>
        <v>406.9299</v>
      </c>
    </row>
    <row r="69" spans="1:9" ht="24">
      <c r="A69" s="412" t="s">
        <v>642</v>
      </c>
      <c r="B69" s="413">
        <v>1</v>
      </c>
      <c r="C69" s="424">
        <f>D69+E69+F69</f>
        <v>128.59102000000001</v>
      </c>
      <c r="D69" s="424">
        <f>18.248+18.248*30%</f>
        <v>23.7224</v>
      </c>
      <c r="E69" s="424">
        <f>18.248*5%+(18.248*5%)*30%+20+20*30%</f>
        <v>27.18612</v>
      </c>
      <c r="F69" s="433">
        <f>932.19/12</f>
        <v>77.6825</v>
      </c>
      <c r="G69" s="434">
        <f>18.248*2</f>
        <v>36.496</v>
      </c>
      <c r="H69" s="424">
        <f t="shared" si="5"/>
        <v>1543.0922400000002</v>
      </c>
      <c r="I69" s="411">
        <f>H69*30.2%</f>
        <v>466.01385648</v>
      </c>
    </row>
    <row r="70" spans="1:9" ht="24">
      <c r="A70" s="412" t="s">
        <v>652</v>
      </c>
      <c r="B70" s="413">
        <v>2</v>
      </c>
      <c r="C70" s="424">
        <f aca="true" t="shared" si="6" ref="C70:C79">D70+E70+F70</f>
        <v>180.4948</v>
      </c>
      <c r="D70" s="433">
        <f>18.248*2+(18.248*2)*30%</f>
        <v>47.4448</v>
      </c>
      <c r="E70" s="433"/>
      <c r="F70" s="433">
        <f>798.3/12*2</f>
        <v>133.04999999999998</v>
      </c>
      <c r="G70" s="434">
        <f>18.248*2*2</f>
        <v>72.992</v>
      </c>
      <c r="H70" s="424">
        <f t="shared" si="5"/>
        <v>2165.9376</v>
      </c>
      <c r="I70" s="411">
        <f aca="true" t="shared" si="7" ref="I70:I78">H70*30.2%</f>
        <v>654.1131552</v>
      </c>
    </row>
    <row r="71" spans="1:9" ht="48">
      <c r="A71" s="412" t="s">
        <v>644</v>
      </c>
      <c r="B71" s="413">
        <v>96.75</v>
      </c>
      <c r="C71" s="424">
        <f t="shared" si="6"/>
        <v>9548.880000000001</v>
      </c>
      <c r="D71" s="433">
        <v>1953.7</v>
      </c>
      <c r="E71" s="433">
        <v>1254.72</v>
      </c>
      <c r="F71" s="433">
        <v>6340.46</v>
      </c>
      <c r="G71" s="433"/>
      <c r="H71" s="435">
        <f t="shared" si="5"/>
        <v>114586.56000000001</v>
      </c>
      <c r="I71" s="411">
        <f t="shared" si="7"/>
        <v>34605.14112</v>
      </c>
    </row>
    <row r="72" spans="1:9" ht="12.75">
      <c r="A72" s="416" t="s">
        <v>645</v>
      </c>
      <c r="B72" s="413">
        <v>1</v>
      </c>
      <c r="C72" s="424">
        <f t="shared" si="6"/>
        <v>80.68609</v>
      </c>
      <c r="D72" s="424">
        <f>25022.4/1000</f>
        <v>25.0224</v>
      </c>
      <c r="E72" s="424">
        <f>34280.69/1000</f>
        <v>34.28069</v>
      </c>
      <c r="F72" s="434">
        <f>21383/1000</f>
        <v>21.383</v>
      </c>
      <c r="G72" s="433"/>
      <c r="H72" s="435">
        <f t="shared" si="5"/>
        <v>968.23308</v>
      </c>
      <c r="I72" s="411">
        <f t="shared" si="7"/>
        <v>292.40639016</v>
      </c>
    </row>
    <row r="73" spans="1:9" ht="66" customHeight="1">
      <c r="A73" s="412" t="s">
        <v>653</v>
      </c>
      <c r="B73" s="413">
        <v>176.75</v>
      </c>
      <c r="C73" s="424">
        <f t="shared" si="6"/>
        <v>7401.4</v>
      </c>
      <c r="D73" s="433">
        <v>2907.27</v>
      </c>
      <c r="E73" s="433">
        <v>1847.39</v>
      </c>
      <c r="F73" s="433">
        <v>2646.74</v>
      </c>
      <c r="G73" s="433"/>
      <c r="H73" s="435">
        <f t="shared" si="5"/>
        <v>88816.79999999999</v>
      </c>
      <c r="I73" s="411">
        <f t="shared" si="7"/>
        <v>26822.673599999995</v>
      </c>
    </row>
    <row r="74" spans="1:9" ht="12.75">
      <c r="A74" s="416" t="s">
        <v>646</v>
      </c>
      <c r="B74" s="413">
        <v>10.5</v>
      </c>
      <c r="C74" s="424">
        <f t="shared" si="6"/>
        <v>432.34000000000003</v>
      </c>
      <c r="D74" s="433">
        <v>115.69</v>
      </c>
      <c r="E74" s="433">
        <v>76.92</v>
      </c>
      <c r="F74" s="433">
        <v>239.73</v>
      </c>
      <c r="G74" s="433"/>
      <c r="H74" s="435">
        <f t="shared" si="5"/>
        <v>5188.08</v>
      </c>
      <c r="I74" s="411">
        <f t="shared" si="7"/>
        <v>1566.80016</v>
      </c>
    </row>
    <row r="75" spans="1:9" ht="12.75">
      <c r="A75" s="416" t="s">
        <v>647</v>
      </c>
      <c r="B75" s="413">
        <v>1</v>
      </c>
      <c r="C75" s="424">
        <f t="shared" si="6"/>
        <v>90.2474</v>
      </c>
      <c r="D75" s="424">
        <f>18.248+18.248*30%</f>
        <v>23.7224</v>
      </c>
      <c r="E75" s="433"/>
      <c r="F75" s="424">
        <f>798.3/12</f>
        <v>66.52499999999999</v>
      </c>
      <c r="G75" s="424">
        <f>18.248*2</f>
        <v>36.496</v>
      </c>
      <c r="H75" s="424">
        <f t="shared" si="5"/>
        <v>1082.9688</v>
      </c>
      <c r="I75" s="411">
        <f t="shared" si="7"/>
        <v>327.0565776</v>
      </c>
    </row>
    <row r="76" spans="1:9" ht="15.75" customHeight="1">
      <c r="A76" s="412" t="s">
        <v>648</v>
      </c>
      <c r="B76" s="413"/>
      <c r="C76" s="424">
        <f t="shared" si="6"/>
        <v>0</v>
      </c>
      <c r="D76" s="433"/>
      <c r="E76" s="433"/>
      <c r="F76" s="433"/>
      <c r="G76" s="433"/>
      <c r="H76" s="433"/>
      <c r="I76" s="411">
        <f t="shared" si="7"/>
        <v>0</v>
      </c>
    </row>
    <row r="77" spans="1:9" ht="12.75">
      <c r="A77" s="416" t="s">
        <v>649</v>
      </c>
      <c r="B77" s="413">
        <v>1</v>
      </c>
      <c r="C77" s="424">
        <f t="shared" si="6"/>
        <v>91.66883999999999</v>
      </c>
      <c r="D77" s="424">
        <f>15577.9/1000</f>
        <v>15.5779</v>
      </c>
      <c r="E77" s="424">
        <f>44397.02/1000</f>
        <v>44.39702</v>
      </c>
      <c r="F77" s="424">
        <f>31693.92/1000</f>
        <v>31.69392</v>
      </c>
      <c r="G77" s="424"/>
      <c r="H77" s="424">
        <f>C77*12</f>
        <v>1100.0260799999999</v>
      </c>
      <c r="I77" s="411">
        <f t="shared" si="7"/>
        <v>332.20787615999996</v>
      </c>
    </row>
    <row r="78" spans="1:9" ht="12.75">
      <c r="A78" s="416" t="s">
        <v>650</v>
      </c>
      <c r="B78" s="413">
        <v>26</v>
      </c>
      <c r="C78" s="424">
        <f t="shared" si="6"/>
        <v>1468.96</v>
      </c>
      <c r="D78" s="433">
        <v>338.01</v>
      </c>
      <c r="E78" s="433">
        <v>471.39</v>
      </c>
      <c r="F78" s="433">
        <v>659.56</v>
      </c>
      <c r="G78" s="433"/>
      <c r="H78" s="424">
        <f>C78*12</f>
        <v>17627.52</v>
      </c>
      <c r="I78" s="411">
        <f t="shared" si="7"/>
        <v>5323.51104</v>
      </c>
    </row>
    <row r="79" spans="1:9" ht="13.5" thickBot="1">
      <c r="A79" s="436" t="s">
        <v>651</v>
      </c>
      <c r="B79" s="437">
        <v>157.52</v>
      </c>
      <c r="C79" s="438">
        <f t="shared" si="6"/>
        <v>4483.625671448242</v>
      </c>
      <c r="D79" s="439">
        <f>'[1]Страницы  с 1 по 1'!$F$220</f>
        <v>1343.6082529077473</v>
      </c>
      <c r="E79" s="439">
        <f>'[1]Страницы  с 1 по 1'!$F$221</f>
        <v>1352.126289879802</v>
      </c>
      <c r="F79" s="439">
        <f>'[1]Страницы  с 1 по 1'!$F$222</f>
        <v>1787.8911286606935</v>
      </c>
      <c r="G79" s="440"/>
      <c r="H79" s="438">
        <f>C79*12</f>
        <v>53803.50805737891</v>
      </c>
      <c r="I79" s="411">
        <f>H79*30.2%</f>
        <v>16248.65943332843</v>
      </c>
    </row>
    <row r="80" spans="1:9" ht="13.5" thickBot="1">
      <c r="A80" s="238" t="s">
        <v>998</v>
      </c>
      <c r="B80" s="406">
        <f>B67+B28+B15</f>
        <v>479.77</v>
      </c>
      <c r="C80" s="407">
        <f aca="true" t="shared" si="8" ref="C80:I80">C67+C28+C15</f>
        <v>24248.10665478157</v>
      </c>
      <c r="D80" s="407">
        <f t="shared" si="8"/>
        <v>6887.465652907747</v>
      </c>
      <c r="E80" s="407">
        <f t="shared" si="8"/>
        <v>5129.652119879803</v>
      </c>
      <c r="F80" s="407">
        <f t="shared" si="8"/>
        <v>12230.988881994026</v>
      </c>
      <c r="G80" s="407">
        <f t="shared" si="8"/>
        <v>186.53400000000002</v>
      </c>
      <c r="H80" s="407">
        <f t="shared" si="8"/>
        <v>210889.404</v>
      </c>
      <c r="I80" s="407">
        <f t="shared" si="8"/>
        <v>63688.614688</v>
      </c>
    </row>
    <row r="82" spans="1:4" ht="12.75">
      <c r="A82" s="204"/>
      <c r="D82" s="294"/>
    </row>
    <row r="83" spans="1:7" ht="15">
      <c r="A83" s="204" t="s">
        <v>893</v>
      </c>
      <c r="D83" s="215"/>
      <c r="F83" s="215" t="s">
        <v>999</v>
      </c>
      <c r="G83" s="215"/>
    </row>
    <row r="84" spans="1:4" ht="15">
      <c r="A84" s="223" t="s">
        <v>1000</v>
      </c>
      <c r="D84" s="223" t="s">
        <v>655</v>
      </c>
    </row>
    <row r="87" spans="1:7" ht="15">
      <c r="A87" s="204" t="s">
        <v>895</v>
      </c>
      <c r="D87" s="215"/>
      <c r="F87" s="215" t="s">
        <v>915</v>
      </c>
      <c r="G87" s="215"/>
    </row>
    <row r="88" spans="1:4" ht="15">
      <c r="A88" s="223" t="s">
        <v>1001</v>
      </c>
      <c r="D88" s="223" t="s">
        <v>655</v>
      </c>
    </row>
    <row r="90" ht="12.75">
      <c r="A90" s="204"/>
    </row>
    <row r="91" ht="12.75">
      <c r="A91" s="204"/>
    </row>
    <row r="93" ht="12.75">
      <c r="A93" s="204"/>
    </row>
  </sheetData>
  <sheetProtection/>
  <mergeCells count="8">
    <mergeCell ref="B13:B14"/>
    <mergeCell ref="C13:F13"/>
    <mergeCell ref="G13:G14"/>
    <mergeCell ref="H13:H14"/>
    <mergeCell ref="I13:I14"/>
    <mergeCell ref="A10:I10"/>
    <mergeCell ref="A11:I11"/>
    <mergeCell ref="A13:A14"/>
  </mergeCells>
  <printOptions/>
  <pageMargins left="0" right="0" top="0" bottom="0"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L72"/>
  <sheetViews>
    <sheetView zoomScale="140" zoomScaleNormal="140" zoomScalePageLayoutView="0" workbookViewId="0" topLeftCell="A40">
      <selection activeCell="E67" sqref="E67"/>
    </sheetView>
  </sheetViews>
  <sheetFormatPr defaultColWidth="9.00390625" defaultRowHeight="15" customHeight="1"/>
  <cols>
    <col min="1" max="1" width="12.25390625" style="486" customWidth="1"/>
    <col min="2" max="2" width="32.875" style="486" customWidth="1"/>
    <col min="3" max="3" width="13.25390625" style="486" customWidth="1"/>
    <col min="4" max="4" width="14.625" style="486" customWidth="1"/>
    <col min="5" max="5" width="12.375" style="132" customWidth="1"/>
    <col min="6" max="7" width="14.625" style="486" customWidth="1"/>
    <col min="8" max="8" width="12.625" style="486" customWidth="1"/>
    <col min="9" max="9" width="13.625" style="486" customWidth="1"/>
    <col min="10" max="10" width="13.75390625" style="486" customWidth="1"/>
    <col min="11" max="11" width="12.25390625" style="486" customWidth="1"/>
    <col min="12" max="12" width="19.75390625" style="486" customWidth="1"/>
    <col min="13" max="16384" width="9.125" style="486" customWidth="1"/>
  </cols>
  <sheetData>
    <row r="1" ht="15" customHeight="1">
      <c r="H1" s="186" t="s">
        <v>970</v>
      </c>
    </row>
    <row r="3" ht="15" customHeight="1">
      <c r="H3" s="186" t="s">
        <v>547</v>
      </c>
    </row>
    <row r="4" ht="15" customHeight="1">
      <c r="H4" s="186" t="s">
        <v>548</v>
      </c>
    </row>
    <row r="5" ht="15" customHeight="1">
      <c r="H5" s="186" t="s">
        <v>971</v>
      </c>
    </row>
    <row r="6" ht="15" customHeight="1">
      <c r="H6" s="186" t="s">
        <v>972</v>
      </c>
    </row>
    <row r="7" ht="15" customHeight="1">
      <c r="H7" s="186" t="s">
        <v>973</v>
      </c>
    </row>
    <row r="8" ht="15" customHeight="1">
      <c r="H8" s="186" t="s">
        <v>273</v>
      </c>
    </row>
    <row r="10" spans="1:11" ht="15" customHeight="1">
      <c r="A10" s="739" t="s">
        <v>957</v>
      </c>
      <c r="B10" s="739"/>
      <c r="C10" s="739"/>
      <c r="D10" s="739"/>
      <c r="E10" s="739"/>
      <c r="F10" s="739"/>
      <c r="G10" s="739"/>
      <c r="H10" s="739"/>
      <c r="I10" s="739"/>
      <c r="J10" s="739"/>
      <c r="K10" s="739"/>
    </row>
    <row r="11" spans="1:11" ht="15" customHeight="1">
      <c r="A11" s="488"/>
      <c r="B11" s="488"/>
      <c r="C11" s="488"/>
      <c r="D11" s="488"/>
      <c r="E11" s="489"/>
      <c r="F11" s="488"/>
      <c r="G11" s="488"/>
      <c r="H11" s="488"/>
      <c r="I11" s="488"/>
      <c r="J11" s="488"/>
      <c r="K11" s="488"/>
    </row>
    <row r="12" spans="3:5" s="490" customFormat="1" ht="15" customHeight="1">
      <c r="C12" s="490" t="s">
        <v>831</v>
      </c>
      <c r="E12" s="491"/>
    </row>
    <row r="13" spans="1:11" ht="15" customHeight="1" thickBot="1">
      <c r="A13" s="740" t="s">
        <v>187</v>
      </c>
      <c r="B13" s="740"/>
      <c r="C13" s="740"/>
      <c r="D13" s="740"/>
      <c r="E13" s="740"/>
      <c r="F13" s="740"/>
      <c r="G13" s="740"/>
      <c r="H13" s="740"/>
      <c r="I13" s="740"/>
      <c r="J13" s="740"/>
      <c r="K13" s="740"/>
    </row>
    <row r="14" spans="1:11" ht="15" customHeight="1" thickBot="1">
      <c r="A14" s="741" t="s">
        <v>660</v>
      </c>
      <c r="B14" s="743" t="s">
        <v>951</v>
      </c>
      <c r="C14" s="745" t="s">
        <v>845</v>
      </c>
      <c r="D14" s="746"/>
      <c r="E14" s="747"/>
      <c r="F14" s="745" t="s">
        <v>846</v>
      </c>
      <c r="G14" s="746"/>
      <c r="H14" s="747"/>
      <c r="I14" s="745" t="s">
        <v>958</v>
      </c>
      <c r="J14" s="746"/>
      <c r="K14" s="747"/>
    </row>
    <row r="15" spans="1:11" ht="15" customHeight="1" thickBot="1">
      <c r="A15" s="742"/>
      <c r="B15" s="744"/>
      <c r="C15" s="485" t="s">
        <v>661</v>
      </c>
      <c r="D15" s="485" t="s">
        <v>959</v>
      </c>
      <c r="E15" s="492" t="s">
        <v>849</v>
      </c>
      <c r="F15" s="485" t="s">
        <v>661</v>
      </c>
      <c r="G15" s="485" t="s">
        <v>959</v>
      </c>
      <c r="H15" s="485" t="s">
        <v>849</v>
      </c>
      <c r="I15" s="485" t="s">
        <v>661</v>
      </c>
      <c r="J15" s="485" t="s">
        <v>959</v>
      </c>
      <c r="K15" s="485" t="s">
        <v>849</v>
      </c>
    </row>
    <row r="16" spans="1:11" ht="15" customHeight="1" thickBot="1">
      <c r="A16" s="493" t="s">
        <v>960</v>
      </c>
      <c r="B16" s="494" t="s">
        <v>851</v>
      </c>
      <c r="C16" s="482"/>
      <c r="D16" s="482"/>
      <c r="E16" s="495">
        <f>E17</f>
        <v>15936.57</v>
      </c>
      <c r="F16" s="496"/>
      <c r="G16" s="496"/>
      <c r="H16" s="496">
        <f>H17</f>
        <v>1156203</v>
      </c>
      <c r="I16" s="496"/>
      <c r="J16" s="496"/>
      <c r="K16" s="496">
        <f>K17</f>
        <v>1144904</v>
      </c>
    </row>
    <row r="17" spans="1:11" ht="15" customHeight="1" thickBot="1">
      <c r="A17" s="483" t="s">
        <v>81</v>
      </c>
      <c r="B17" s="381" t="s">
        <v>924</v>
      </c>
      <c r="C17" s="482"/>
      <c r="D17" s="482"/>
      <c r="E17" s="495">
        <f>E20+E21</f>
        <v>15936.57</v>
      </c>
      <c r="F17" s="496"/>
      <c r="G17" s="496"/>
      <c r="H17" s="496">
        <f>H20+H21</f>
        <v>1156203</v>
      </c>
      <c r="I17" s="496"/>
      <c r="J17" s="496"/>
      <c r="K17" s="496">
        <f>K20+K21</f>
        <v>1144904</v>
      </c>
    </row>
    <row r="18" spans="1:11" ht="15" customHeight="1" thickBot="1">
      <c r="A18" s="483" t="s">
        <v>83</v>
      </c>
      <c r="B18" s="381" t="s">
        <v>952</v>
      </c>
      <c r="C18" s="485" t="s">
        <v>961</v>
      </c>
      <c r="D18" s="485" t="s">
        <v>962</v>
      </c>
      <c r="E18" s="495">
        <f>E17</f>
        <v>15936.57</v>
      </c>
      <c r="F18" s="485" t="s">
        <v>961</v>
      </c>
      <c r="G18" s="485" t="s">
        <v>962</v>
      </c>
      <c r="H18" s="496">
        <f>H17</f>
        <v>1156203</v>
      </c>
      <c r="I18" s="485" t="s">
        <v>961</v>
      </c>
      <c r="J18" s="485" t="s">
        <v>962</v>
      </c>
      <c r="K18" s="496">
        <f>K17</f>
        <v>1144904</v>
      </c>
    </row>
    <row r="19" spans="1:12" ht="15" customHeight="1" thickBot="1">
      <c r="A19" s="482"/>
      <c r="B19" s="482" t="s">
        <v>953</v>
      </c>
      <c r="C19" s="482"/>
      <c r="D19" s="482"/>
      <c r="E19" s="487"/>
      <c r="F19" s="482"/>
      <c r="G19" s="482"/>
      <c r="H19" s="482"/>
      <c r="I19" s="482"/>
      <c r="J19" s="482"/>
      <c r="K19" s="482"/>
      <c r="L19" s="497"/>
    </row>
    <row r="20" spans="1:11" ht="15" customHeight="1" thickBot="1">
      <c r="A20" s="482" t="s">
        <v>901</v>
      </c>
      <c r="B20" s="482" t="s">
        <v>902</v>
      </c>
      <c r="C20" s="496">
        <v>27264299</v>
      </c>
      <c r="D20" s="484">
        <v>0.022</v>
      </c>
      <c r="E20" s="495">
        <v>8043.22</v>
      </c>
      <c r="F20" s="496">
        <v>26750686</v>
      </c>
      <c r="G20" s="484">
        <v>0.022</v>
      </c>
      <c r="H20" s="496">
        <v>588515</v>
      </c>
      <c r="I20" s="496">
        <v>26237073</v>
      </c>
      <c r="J20" s="484">
        <v>0.022</v>
      </c>
      <c r="K20" s="496">
        <v>577216</v>
      </c>
    </row>
    <row r="21" spans="1:11" ht="15" customHeight="1" thickBot="1">
      <c r="A21" s="482" t="s">
        <v>901</v>
      </c>
      <c r="B21" s="482" t="s">
        <v>954</v>
      </c>
      <c r="C21" s="485" t="s">
        <v>963</v>
      </c>
      <c r="D21" s="485" t="s">
        <v>964</v>
      </c>
      <c r="E21" s="495">
        <f>SUM(E22:E25)</f>
        <v>7893.35</v>
      </c>
      <c r="F21" s="485" t="s">
        <v>963</v>
      </c>
      <c r="G21" s="485" t="s">
        <v>964</v>
      </c>
      <c r="H21" s="496">
        <f>H24+H25</f>
        <v>567688</v>
      </c>
      <c r="I21" s="485" t="s">
        <v>963</v>
      </c>
      <c r="J21" s="485" t="s">
        <v>964</v>
      </c>
      <c r="K21" s="496">
        <f>K24+K25</f>
        <v>567688</v>
      </c>
    </row>
    <row r="22" spans="1:11" ht="15" customHeight="1" thickBot="1">
      <c r="A22" s="482"/>
      <c r="B22" s="482" t="s">
        <v>903</v>
      </c>
      <c r="C22" s="482">
        <v>33832753.11</v>
      </c>
      <c r="D22" s="484">
        <v>0.015</v>
      </c>
      <c r="E22" s="495">
        <v>3946.68</v>
      </c>
      <c r="F22" s="482"/>
      <c r="G22" s="482"/>
      <c r="H22" s="482"/>
      <c r="I22" s="482"/>
      <c r="J22" s="482"/>
      <c r="K22" s="482"/>
    </row>
    <row r="23" spans="1:11" ht="15" customHeight="1" thickBot="1">
      <c r="A23" s="482"/>
      <c r="B23" s="482" t="s">
        <v>903</v>
      </c>
      <c r="C23" s="482">
        <v>21171235.41</v>
      </c>
      <c r="D23" s="484">
        <v>0.015</v>
      </c>
      <c r="E23" s="495">
        <v>3946.67</v>
      </c>
      <c r="F23" s="482"/>
      <c r="G23" s="482"/>
      <c r="H23" s="482"/>
      <c r="I23" s="482"/>
      <c r="J23" s="482"/>
      <c r="K23" s="482"/>
    </row>
    <row r="24" spans="1:11" ht="15" customHeight="1" thickBot="1">
      <c r="A24" s="482"/>
      <c r="B24" s="482" t="s">
        <v>904</v>
      </c>
      <c r="C24" s="482">
        <v>23278866.39</v>
      </c>
      <c r="D24" s="484">
        <v>0.015</v>
      </c>
      <c r="E24" s="487"/>
      <c r="F24" s="482">
        <v>23278866.39</v>
      </c>
      <c r="G24" s="484">
        <v>0.015</v>
      </c>
      <c r="H24" s="496">
        <v>349183</v>
      </c>
      <c r="I24" s="482">
        <v>23278866.39</v>
      </c>
      <c r="J24" s="484">
        <v>0.015</v>
      </c>
      <c r="K24" s="496">
        <v>349183</v>
      </c>
    </row>
    <row r="25" spans="1:11" ht="15" customHeight="1" thickBot="1">
      <c r="A25" s="482"/>
      <c r="B25" s="482" t="s">
        <v>904</v>
      </c>
      <c r="C25" s="482">
        <v>14567019.09</v>
      </c>
      <c r="D25" s="484">
        <v>0.015</v>
      </c>
      <c r="E25" s="487"/>
      <c r="F25" s="482">
        <v>14567019.09</v>
      </c>
      <c r="G25" s="484">
        <v>0.015</v>
      </c>
      <c r="H25" s="496">
        <v>218505</v>
      </c>
      <c r="I25" s="482">
        <v>14567019.09</v>
      </c>
      <c r="J25" s="484">
        <v>0.015</v>
      </c>
      <c r="K25" s="496">
        <v>218505</v>
      </c>
    </row>
    <row r="26" spans="1:11" ht="15" customHeight="1" thickBot="1">
      <c r="A26" s="483" t="s">
        <v>85</v>
      </c>
      <c r="B26" s="381" t="s">
        <v>905</v>
      </c>
      <c r="C26" s="485" t="s">
        <v>965</v>
      </c>
      <c r="D26" s="485" t="s">
        <v>964</v>
      </c>
      <c r="E26" s="487"/>
      <c r="F26" s="485" t="s">
        <v>965</v>
      </c>
      <c r="G26" s="485" t="s">
        <v>964</v>
      </c>
      <c r="H26" s="482"/>
      <c r="I26" s="485" t="s">
        <v>965</v>
      </c>
      <c r="J26" s="485" t="s">
        <v>964</v>
      </c>
      <c r="K26" s="482"/>
    </row>
    <row r="27" spans="1:11" ht="15" customHeight="1" thickBot="1">
      <c r="A27" s="482"/>
      <c r="B27" s="381" t="s">
        <v>955</v>
      </c>
      <c r="C27" s="482"/>
      <c r="D27" s="482"/>
      <c r="E27" s="487"/>
      <c r="F27" s="482"/>
      <c r="G27" s="482"/>
      <c r="H27" s="482"/>
      <c r="I27" s="482"/>
      <c r="J27" s="482"/>
      <c r="K27" s="482"/>
    </row>
    <row r="28" spans="1:11" ht="15" customHeight="1" thickBot="1">
      <c r="A28" s="482"/>
      <c r="B28" s="493" t="s">
        <v>189</v>
      </c>
      <c r="C28" s="482"/>
      <c r="D28" s="482"/>
      <c r="E28" s="487"/>
      <c r="F28" s="482"/>
      <c r="G28" s="482"/>
      <c r="H28" s="482"/>
      <c r="I28" s="482"/>
      <c r="J28" s="482"/>
      <c r="K28" s="482"/>
    </row>
    <row r="29" spans="1:11" ht="15" customHeight="1" thickBot="1">
      <c r="A29" s="483" t="s">
        <v>86</v>
      </c>
      <c r="B29" s="381" t="s">
        <v>956</v>
      </c>
      <c r="C29" s="482"/>
      <c r="D29" s="482"/>
      <c r="E29" s="487"/>
      <c r="F29" s="482"/>
      <c r="G29" s="482"/>
      <c r="H29" s="482"/>
      <c r="I29" s="482"/>
      <c r="J29" s="482"/>
      <c r="K29" s="482"/>
    </row>
    <row r="30" spans="1:11" ht="15" customHeight="1" thickBot="1">
      <c r="A30" s="482"/>
      <c r="B30" s="493" t="s">
        <v>189</v>
      </c>
      <c r="C30" s="482"/>
      <c r="D30" s="482"/>
      <c r="E30" s="487"/>
      <c r="F30" s="482"/>
      <c r="G30" s="482"/>
      <c r="H30" s="482"/>
      <c r="I30" s="482"/>
      <c r="J30" s="482"/>
      <c r="K30" s="482"/>
    </row>
    <row r="31" spans="1:11" ht="15" customHeight="1" thickBot="1">
      <c r="A31" s="493" t="s">
        <v>966</v>
      </c>
      <c r="B31" s="493" t="s">
        <v>883</v>
      </c>
      <c r="C31" s="482"/>
      <c r="D31" s="482"/>
      <c r="E31" s="495">
        <f>E32+E35</f>
        <v>1345709.4300000002</v>
      </c>
      <c r="F31" s="482"/>
      <c r="G31" s="482"/>
      <c r="H31" s="496">
        <f>H35+H32</f>
        <v>118836</v>
      </c>
      <c r="I31" s="482"/>
      <c r="J31" s="482"/>
      <c r="K31" s="496">
        <f>K35+K32</f>
        <v>118836</v>
      </c>
    </row>
    <row r="32" spans="1:11" ht="15" customHeight="1" thickBot="1">
      <c r="A32" s="483">
        <v>830</v>
      </c>
      <c r="B32" s="381" t="s">
        <v>947</v>
      </c>
      <c r="C32" s="482"/>
      <c r="D32" s="482"/>
      <c r="E32" s="495">
        <f>E33</f>
        <v>5000</v>
      </c>
      <c r="F32" s="482"/>
      <c r="G32" s="482"/>
      <c r="H32" s="496">
        <f>H33</f>
        <v>5000</v>
      </c>
      <c r="I32" s="482"/>
      <c r="J32" s="482"/>
      <c r="K32" s="496">
        <f>K33</f>
        <v>5000</v>
      </c>
    </row>
    <row r="33" spans="1:11" ht="15" customHeight="1" thickBot="1">
      <c r="A33" s="483">
        <v>831</v>
      </c>
      <c r="B33" s="381" t="s">
        <v>948</v>
      </c>
      <c r="C33" s="482"/>
      <c r="D33" s="482"/>
      <c r="E33" s="495">
        <f>E34</f>
        <v>5000</v>
      </c>
      <c r="F33" s="482"/>
      <c r="G33" s="482"/>
      <c r="H33" s="496">
        <f>H34</f>
        <v>5000</v>
      </c>
      <c r="I33" s="482"/>
      <c r="J33" s="482"/>
      <c r="K33" s="496">
        <f>K34</f>
        <v>5000</v>
      </c>
    </row>
    <row r="34" spans="1:11" ht="15" customHeight="1" thickBot="1">
      <c r="A34" s="483" t="s">
        <v>949</v>
      </c>
      <c r="B34" s="498" t="s">
        <v>950</v>
      </c>
      <c r="C34" s="482"/>
      <c r="D34" s="482"/>
      <c r="E34" s="495">
        <v>5000</v>
      </c>
      <c r="F34" s="482"/>
      <c r="G34" s="482"/>
      <c r="H34" s="496">
        <v>5000</v>
      </c>
      <c r="I34" s="482"/>
      <c r="J34" s="482"/>
      <c r="K34" s="496">
        <v>5000</v>
      </c>
    </row>
    <row r="35" spans="1:11" ht="15" customHeight="1" thickBot="1">
      <c r="A35" s="483" t="s">
        <v>81</v>
      </c>
      <c r="B35" s="381" t="s">
        <v>924</v>
      </c>
      <c r="C35" s="482"/>
      <c r="D35" s="482"/>
      <c r="E35" s="499">
        <f>E36+E43+E47</f>
        <v>1340709.4300000002</v>
      </c>
      <c r="F35" s="496"/>
      <c r="G35" s="496"/>
      <c r="H35" s="496">
        <f>H43+H47</f>
        <v>113836</v>
      </c>
      <c r="I35" s="496"/>
      <c r="J35" s="496"/>
      <c r="K35" s="496">
        <f>K43+K47</f>
        <v>113836</v>
      </c>
    </row>
    <row r="36" spans="1:11" ht="29.25" customHeight="1" thickBot="1">
      <c r="A36" s="483" t="s">
        <v>83</v>
      </c>
      <c r="B36" s="381" t="s">
        <v>952</v>
      </c>
      <c r="C36" s="485" t="s">
        <v>961</v>
      </c>
      <c r="D36" s="485" t="s">
        <v>962</v>
      </c>
      <c r="E36" s="495">
        <f>E37+E38</f>
        <v>1226873.4300000002</v>
      </c>
      <c r="F36" s="485" t="s">
        <v>961</v>
      </c>
      <c r="G36" s="485" t="s">
        <v>962</v>
      </c>
      <c r="H36" s="482"/>
      <c r="I36" s="485" t="s">
        <v>961</v>
      </c>
      <c r="J36" s="485" t="s">
        <v>962</v>
      </c>
      <c r="K36" s="482"/>
    </row>
    <row r="37" spans="1:11" ht="15" customHeight="1" thickBot="1">
      <c r="A37" s="482" t="s">
        <v>901</v>
      </c>
      <c r="B37" s="482" t="s">
        <v>902</v>
      </c>
      <c r="C37" s="486">
        <v>27264299</v>
      </c>
      <c r="D37" s="500">
        <v>0.022</v>
      </c>
      <c r="E37" s="492">
        <v>595199.78</v>
      </c>
      <c r="F37" s="483"/>
      <c r="G37" s="485"/>
      <c r="H37" s="485"/>
      <c r="I37" s="482"/>
      <c r="J37" s="485"/>
      <c r="K37" s="485"/>
    </row>
    <row r="38" spans="1:11" ht="15" customHeight="1" thickBot="1">
      <c r="A38" s="482" t="s">
        <v>901</v>
      </c>
      <c r="B38" s="482" t="s">
        <v>954</v>
      </c>
      <c r="C38" s="485" t="s">
        <v>963</v>
      </c>
      <c r="D38" s="485" t="s">
        <v>964</v>
      </c>
      <c r="E38" s="487">
        <f>E39+E40+E41+E42</f>
        <v>631673.65</v>
      </c>
      <c r="F38" s="485" t="s">
        <v>963</v>
      </c>
      <c r="G38" s="485" t="s">
        <v>964</v>
      </c>
      <c r="H38" s="482"/>
      <c r="I38" s="485" t="s">
        <v>963</v>
      </c>
      <c r="J38" s="485" t="s">
        <v>964</v>
      </c>
      <c r="K38" s="482"/>
    </row>
    <row r="39" spans="1:11" ht="15" customHeight="1" thickBot="1">
      <c r="A39" s="483"/>
      <c r="B39" s="482" t="s">
        <v>903</v>
      </c>
      <c r="C39" s="482">
        <v>33832753.11</v>
      </c>
      <c r="D39" s="484">
        <v>0.015</v>
      </c>
      <c r="E39" s="487">
        <v>126515.65</v>
      </c>
      <c r="F39" s="485"/>
      <c r="G39" s="485"/>
      <c r="H39" s="482"/>
      <c r="I39" s="485"/>
      <c r="J39" s="485"/>
      <c r="K39" s="482"/>
    </row>
    <row r="40" spans="1:11" ht="15" customHeight="1" thickBot="1">
      <c r="A40" s="483"/>
      <c r="B40" s="482" t="s">
        <v>903</v>
      </c>
      <c r="C40" s="482">
        <v>21171235.41</v>
      </c>
      <c r="D40" s="484">
        <v>0.015</v>
      </c>
      <c r="E40" s="487">
        <v>79392</v>
      </c>
      <c r="F40" s="485"/>
      <c r="G40" s="485"/>
      <c r="H40" s="482"/>
      <c r="I40" s="485"/>
      <c r="J40" s="485"/>
      <c r="K40" s="482"/>
    </row>
    <row r="41" spans="1:11" ht="15" customHeight="1" thickBot="1">
      <c r="A41" s="482"/>
      <c r="B41" s="482" t="s">
        <v>904</v>
      </c>
      <c r="C41" s="482">
        <v>23278866.39</v>
      </c>
      <c r="D41" s="484">
        <v>0.015</v>
      </c>
      <c r="E41" s="487">
        <v>261887.25</v>
      </c>
      <c r="F41" s="482"/>
      <c r="G41" s="482"/>
      <c r="H41" s="482"/>
      <c r="I41" s="482"/>
      <c r="J41" s="482"/>
      <c r="K41" s="482"/>
    </row>
    <row r="42" spans="1:11" ht="15" customHeight="1" thickBot="1">
      <c r="A42" s="482"/>
      <c r="B42" s="482" t="s">
        <v>904</v>
      </c>
      <c r="C42" s="482">
        <v>14567019.09</v>
      </c>
      <c r="D42" s="484">
        <v>0.015</v>
      </c>
      <c r="E42" s="487">
        <v>163878.75</v>
      </c>
      <c r="F42" s="482"/>
      <c r="G42" s="482"/>
      <c r="H42" s="482"/>
      <c r="I42" s="482"/>
      <c r="J42" s="482"/>
      <c r="K42" s="482"/>
    </row>
    <row r="43" spans="1:11" ht="15" customHeight="1" thickBot="1">
      <c r="A43" s="483" t="s">
        <v>85</v>
      </c>
      <c r="B43" s="381" t="s">
        <v>905</v>
      </c>
      <c r="C43" s="485" t="s">
        <v>965</v>
      </c>
      <c r="D43" s="485" t="s">
        <v>964</v>
      </c>
      <c r="E43" s="495">
        <f>SUM(E44:E46)</f>
        <v>23836</v>
      </c>
      <c r="F43" s="485" t="s">
        <v>965</v>
      </c>
      <c r="G43" s="485" t="s">
        <v>964</v>
      </c>
      <c r="H43" s="496">
        <f>SUM(H44:H46)</f>
        <v>23836</v>
      </c>
      <c r="I43" s="485" t="s">
        <v>965</v>
      </c>
      <c r="J43" s="485" t="s">
        <v>964</v>
      </c>
      <c r="K43" s="496">
        <f>SUM(K44:K46)</f>
        <v>23836</v>
      </c>
    </row>
    <row r="44" spans="1:11" ht="15" customHeight="1" thickBot="1">
      <c r="A44" s="482" t="s">
        <v>901</v>
      </c>
      <c r="B44" s="381" t="s">
        <v>955</v>
      </c>
      <c r="C44" s="482" t="s">
        <v>906</v>
      </c>
      <c r="D44" s="482">
        <v>28</v>
      </c>
      <c r="E44" s="495">
        <v>2352</v>
      </c>
      <c r="F44" s="482" t="s">
        <v>906</v>
      </c>
      <c r="G44" s="482">
        <v>28</v>
      </c>
      <c r="H44" s="496">
        <v>2352</v>
      </c>
      <c r="I44" s="482" t="s">
        <v>906</v>
      </c>
      <c r="J44" s="482">
        <v>28</v>
      </c>
      <c r="K44" s="496">
        <v>2352</v>
      </c>
    </row>
    <row r="45" spans="1:11" ht="15" customHeight="1" thickBot="1">
      <c r="A45" s="482" t="s">
        <v>901</v>
      </c>
      <c r="B45" s="381" t="s">
        <v>955</v>
      </c>
      <c r="C45" s="482" t="s">
        <v>907</v>
      </c>
      <c r="D45" s="482">
        <v>14</v>
      </c>
      <c r="E45" s="495">
        <v>1484</v>
      </c>
      <c r="F45" s="482" t="s">
        <v>907</v>
      </c>
      <c r="G45" s="482">
        <v>14</v>
      </c>
      <c r="H45" s="496">
        <v>1484</v>
      </c>
      <c r="I45" s="482" t="s">
        <v>907</v>
      </c>
      <c r="J45" s="482">
        <v>14</v>
      </c>
      <c r="K45" s="496">
        <v>1484</v>
      </c>
    </row>
    <row r="46" spans="1:11" ht="15" customHeight="1" thickBot="1">
      <c r="A46" s="482" t="s">
        <v>901</v>
      </c>
      <c r="B46" s="482" t="s">
        <v>908</v>
      </c>
      <c r="C46" s="482"/>
      <c r="D46" s="482"/>
      <c r="E46" s="495">
        <v>20000</v>
      </c>
      <c r="F46" s="482"/>
      <c r="G46" s="482"/>
      <c r="H46" s="496">
        <v>20000</v>
      </c>
      <c r="I46" s="482"/>
      <c r="J46" s="482"/>
      <c r="K46" s="496">
        <v>20000</v>
      </c>
    </row>
    <row r="47" spans="1:11" ht="15" customHeight="1" thickBot="1">
      <c r="A47" s="483" t="s">
        <v>86</v>
      </c>
      <c r="B47" s="381" t="s">
        <v>956</v>
      </c>
      <c r="C47" s="482"/>
      <c r="D47" s="482"/>
      <c r="E47" s="495">
        <f>E48+E49+E50</f>
        <v>90000</v>
      </c>
      <c r="F47" s="482"/>
      <c r="G47" s="482"/>
      <c r="H47" s="496">
        <f>H48+H49+H50</f>
        <v>90000</v>
      </c>
      <c r="I47" s="482"/>
      <c r="J47" s="482"/>
      <c r="K47" s="496">
        <f>K48+K49+K50</f>
        <v>90000</v>
      </c>
    </row>
    <row r="48" spans="1:11" ht="15" customHeight="1" thickBot="1">
      <c r="A48" s="483" t="s">
        <v>909</v>
      </c>
      <c r="B48" s="381" t="s">
        <v>910</v>
      </c>
      <c r="C48" s="482"/>
      <c r="D48" s="482"/>
      <c r="E48" s="495">
        <v>30000</v>
      </c>
      <c r="F48" s="482"/>
      <c r="G48" s="482"/>
      <c r="H48" s="496">
        <v>30000</v>
      </c>
      <c r="I48" s="482"/>
      <c r="J48" s="482"/>
      <c r="K48" s="496">
        <v>30000</v>
      </c>
    </row>
    <row r="49" spans="1:11" ht="15" customHeight="1" thickBot="1">
      <c r="A49" s="482" t="s">
        <v>911</v>
      </c>
      <c r="B49" s="381" t="s">
        <v>912</v>
      </c>
      <c r="C49" s="482"/>
      <c r="D49" s="482"/>
      <c r="E49" s="495">
        <v>20000</v>
      </c>
      <c r="F49" s="482"/>
      <c r="G49" s="482"/>
      <c r="H49" s="496">
        <v>20000</v>
      </c>
      <c r="I49" s="482"/>
      <c r="J49" s="482"/>
      <c r="K49" s="496">
        <v>20000</v>
      </c>
    </row>
    <row r="50" spans="1:11" ht="15" customHeight="1" thickBot="1">
      <c r="A50" s="482" t="s">
        <v>921</v>
      </c>
      <c r="B50" s="381" t="s">
        <v>925</v>
      </c>
      <c r="C50" s="482"/>
      <c r="D50" s="482"/>
      <c r="E50" s="495">
        <v>40000</v>
      </c>
      <c r="F50" s="482"/>
      <c r="G50" s="482"/>
      <c r="H50" s="496">
        <v>40000</v>
      </c>
      <c r="I50" s="482"/>
      <c r="J50" s="482"/>
      <c r="K50" s="496">
        <v>40000</v>
      </c>
    </row>
    <row r="51" spans="1:11" ht="15" customHeight="1" thickBot="1">
      <c r="A51" s="493" t="s">
        <v>967</v>
      </c>
      <c r="B51" s="494" t="s">
        <v>810</v>
      </c>
      <c r="C51" s="482"/>
      <c r="D51" s="482"/>
      <c r="E51" s="495">
        <f>E53+E60+E63</f>
        <v>95000</v>
      </c>
      <c r="F51" s="482"/>
      <c r="G51" s="482"/>
      <c r="H51" s="496">
        <f>H53+H60+H63</f>
        <v>90000</v>
      </c>
      <c r="I51" s="482"/>
      <c r="J51" s="482"/>
      <c r="K51" s="496">
        <f>K53+K60+K63</f>
        <v>90000</v>
      </c>
    </row>
    <row r="52" spans="1:11" ht="15" customHeight="1" thickBot="1">
      <c r="A52" s="483">
        <v>830</v>
      </c>
      <c r="B52" s="381" t="s">
        <v>947</v>
      </c>
      <c r="C52" s="482"/>
      <c r="D52" s="482"/>
      <c r="E52" s="495">
        <f>E53</f>
        <v>5000</v>
      </c>
      <c r="F52" s="482"/>
      <c r="G52" s="482"/>
      <c r="H52" s="496">
        <f>H53</f>
        <v>5000</v>
      </c>
      <c r="I52" s="482"/>
      <c r="J52" s="482"/>
      <c r="K52" s="496">
        <f>K53</f>
        <v>5000</v>
      </c>
    </row>
    <row r="53" spans="1:11" ht="15" customHeight="1" thickBot="1">
      <c r="A53" s="483">
        <v>831</v>
      </c>
      <c r="B53" s="381" t="s">
        <v>948</v>
      </c>
      <c r="C53" s="482"/>
      <c r="D53" s="482"/>
      <c r="E53" s="495">
        <f>E54</f>
        <v>5000</v>
      </c>
      <c r="F53" s="482"/>
      <c r="G53" s="482"/>
      <c r="H53" s="496">
        <f>H54</f>
        <v>5000</v>
      </c>
      <c r="I53" s="482"/>
      <c r="J53" s="482"/>
      <c r="K53" s="496">
        <f>K54</f>
        <v>5000</v>
      </c>
    </row>
    <row r="54" spans="1:11" ht="15" customHeight="1" thickBot="1">
      <c r="A54" s="482" t="s">
        <v>949</v>
      </c>
      <c r="B54" s="498" t="s">
        <v>950</v>
      </c>
      <c r="C54" s="482"/>
      <c r="D54" s="482"/>
      <c r="E54" s="495">
        <v>5000</v>
      </c>
      <c r="F54" s="482"/>
      <c r="G54" s="482"/>
      <c r="H54" s="496">
        <v>5000</v>
      </c>
      <c r="I54" s="482"/>
      <c r="J54" s="482"/>
      <c r="K54" s="496">
        <v>5000</v>
      </c>
    </row>
    <row r="55" spans="1:11" ht="15" customHeight="1" thickBot="1">
      <c r="A55" s="483" t="s">
        <v>81</v>
      </c>
      <c r="B55" s="381" t="s">
        <v>924</v>
      </c>
      <c r="C55" s="482"/>
      <c r="D55" s="482"/>
      <c r="E55" s="495">
        <f>E60+E63</f>
        <v>90000</v>
      </c>
      <c r="F55" s="482"/>
      <c r="G55" s="482"/>
      <c r="H55" s="496">
        <f>H60+H63</f>
        <v>85000</v>
      </c>
      <c r="I55" s="482"/>
      <c r="J55" s="482"/>
      <c r="K55" s="496">
        <f>K60+K63</f>
        <v>85000</v>
      </c>
    </row>
    <row r="56" spans="1:11" ht="15" customHeight="1" thickBot="1">
      <c r="A56" s="485">
        <v>851</v>
      </c>
      <c r="B56" s="381" t="s">
        <v>952</v>
      </c>
      <c r="C56" s="485" t="s">
        <v>961</v>
      </c>
      <c r="D56" s="485" t="s">
        <v>962</v>
      </c>
      <c r="E56" s="487"/>
      <c r="F56" s="485" t="s">
        <v>961</v>
      </c>
      <c r="G56" s="485" t="s">
        <v>962</v>
      </c>
      <c r="H56" s="482"/>
      <c r="I56" s="485" t="s">
        <v>961</v>
      </c>
      <c r="J56" s="485" t="s">
        <v>968</v>
      </c>
      <c r="K56" s="482"/>
    </row>
    <row r="57" spans="1:11" ht="15" customHeight="1" thickBot="1">
      <c r="A57" s="482"/>
      <c r="B57" s="482" t="s">
        <v>953</v>
      </c>
      <c r="C57" s="482"/>
      <c r="D57" s="482"/>
      <c r="E57" s="487"/>
      <c r="F57" s="482"/>
      <c r="G57" s="482"/>
      <c r="H57" s="482"/>
      <c r="I57" s="482"/>
      <c r="J57" s="482"/>
      <c r="K57" s="482"/>
    </row>
    <row r="58" spans="1:11" ht="15" customHeight="1" thickBot="1">
      <c r="A58" s="482"/>
      <c r="B58" s="482" t="s">
        <v>189</v>
      </c>
      <c r="C58" s="482"/>
      <c r="D58" s="482"/>
      <c r="E58" s="487"/>
      <c r="F58" s="482"/>
      <c r="G58" s="482"/>
      <c r="H58" s="482"/>
      <c r="I58" s="482"/>
      <c r="J58" s="482"/>
      <c r="K58" s="482"/>
    </row>
    <row r="59" spans="1:11" ht="15" customHeight="1" thickBot="1">
      <c r="A59" s="482"/>
      <c r="B59" s="501" t="s">
        <v>954</v>
      </c>
      <c r="C59" s="485" t="s">
        <v>963</v>
      </c>
      <c r="D59" s="485" t="s">
        <v>964</v>
      </c>
      <c r="E59" s="487"/>
      <c r="F59" s="485" t="s">
        <v>963</v>
      </c>
      <c r="G59" s="485" t="s">
        <v>964</v>
      </c>
      <c r="H59" s="482"/>
      <c r="I59" s="485" t="s">
        <v>963</v>
      </c>
      <c r="J59" s="485" t="s">
        <v>969</v>
      </c>
      <c r="K59" s="482"/>
    </row>
    <row r="60" spans="1:11" ht="15" customHeight="1" thickBot="1">
      <c r="A60" s="483" t="s">
        <v>85</v>
      </c>
      <c r="B60" s="381" t="s">
        <v>905</v>
      </c>
      <c r="C60" s="485" t="s">
        <v>965</v>
      </c>
      <c r="D60" s="485" t="s">
        <v>964</v>
      </c>
      <c r="E60" s="495">
        <f>E61+E62</f>
        <v>20000</v>
      </c>
      <c r="F60" s="485" t="s">
        <v>965</v>
      </c>
      <c r="G60" s="485" t="s">
        <v>964</v>
      </c>
      <c r="H60" s="496">
        <f>H61+H62</f>
        <v>20000</v>
      </c>
      <c r="I60" s="485" t="s">
        <v>965</v>
      </c>
      <c r="J60" s="485" t="s">
        <v>964</v>
      </c>
      <c r="K60" s="496">
        <f>K61+K62</f>
        <v>20000</v>
      </c>
    </row>
    <row r="61" spans="1:11" ht="15" customHeight="1" thickBot="1">
      <c r="A61" s="482" t="s">
        <v>913</v>
      </c>
      <c r="B61" s="381" t="s">
        <v>955</v>
      </c>
      <c r="C61" s="482"/>
      <c r="D61" s="482"/>
      <c r="E61" s="487"/>
      <c r="F61" s="482"/>
      <c r="G61" s="482"/>
      <c r="H61" s="482"/>
      <c r="I61" s="482"/>
      <c r="J61" s="482"/>
      <c r="K61" s="482"/>
    </row>
    <row r="62" spans="1:11" ht="15" customHeight="1" thickBot="1">
      <c r="A62" s="482" t="s">
        <v>914</v>
      </c>
      <c r="B62" s="482" t="s">
        <v>908</v>
      </c>
      <c r="C62" s="482"/>
      <c r="D62" s="482"/>
      <c r="E62" s="495">
        <v>20000</v>
      </c>
      <c r="F62" s="482"/>
      <c r="G62" s="482"/>
      <c r="H62" s="496">
        <v>20000</v>
      </c>
      <c r="I62" s="482"/>
      <c r="J62" s="482"/>
      <c r="K62" s="496">
        <v>20000</v>
      </c>
    </row>
    <row r="63" spans="1:11" ht="15" customHeight="1" thickBot="1">
      <c r="A63" s="483" t="s">
        <v>86</v>
      </c>
      <c r="B63" s="381" t="s">
        <v>956</v>
      </c>
      <c r="C63" s="482"/>
      <c r="D63" s="482"/>
      <c r="E63" s="495">
        <f>E64+E65+E67</f>
        <v>70000</v>
      </c>
      <c r="F63" s="482"/>
      <c r="G63" s="482"/>
      <c r="H63" s="496">
        <f>H64+H67+H65</f>
        <v>65000</v>
      </c>
      <c r="I63" s="482"/>
      <c r="J63" s="482"/>
      <c r="K63" s="496">
        <f>K64+K65+K67</f>
        <v>65000</v>
      </c>
    </row>
    <row r="64" spans="1:11" ht="15" customHeight="1" thickBot="1">
      <c r="A64" s="483" t="s">
        <v>909</v>
      </c>
      <c r="B64" s="381" t="s">
        <v>910</v>
      </c>
      <c r="C64" s="482"/>
      <c r="D64" s="482"/>
      <c r="E64" s="495">
        <v>40000</v>
      </c>
      <c r="F64" s="496"/>
      <c r="G64" s="496"/>
      <c r="H64" s="496">
        <v>40000</v>
      </c>
      <c r="I64" s="496"/>
      <c r="J64" s="496"/>
      <c r="K64" s="496">
        <v>40000</v>
      </c>
    </row>
    <row r="65" spans="1:11" ht="15" customHeight="1" thickBot="1">
      <c r="A65" s="483" t="s">
        <v>911</v>
      </c>
      <c r="B65" s="381" t="s">
        <v>912</v>
      </c>
      <c r="C65" s="482"/>
      <c r="D65" s="482"/>
      <c r="E65" s="495">
        <v>17000</v>
      </c>
      <c r="F65" s="496"/>
      <c r="G65" s="496"/>
      <c r="H65" s="496">
        <v>20000</v>
      </c>
      <c r="I65" s="496"/>
      <c r="J65" s="496"/>
      <c r="K65" s="496">
        <v>20000</v>
      </c>
    </row>
    <row r="66" spans="1:11" ht="15" customHeight="1" thickBot="1">
      <c r="A66" s="483" t="s">
        <v>921</v>
      </c>
      <c r="B66" s="381" t="s">
        <v>925</v>
      </c>
      <c r="C66" s="482"/>
      <c r="D66" s="482"/>
      <c r="E66" s="495">
        <v>0</v>
      </c>
      <c r="F66" s="496"/>
      <c r="G66" s="496"/>
      <c r="H66" s="496">
        <v>0</v>
      </c>
      <c r="I66" s="496"/>
      <c r="J66" s="496"/>
      <c r="K66" s="496">
        <v>0</v>
      </c>
    </row>
    <row r="67" spans="1:11" ht="15" customHeight="1" thickBot="1">
      <c r="A67" s="483" t="s">
        <v>949</v>
      </c>
      <c r="B67" s="381" t="s">
        <v>950</v>
      </c>
      <c r="C67" s="496"/>
      <c r="D67" s="496"/>
      <c r="E67" s="495">
        <v>13000</v>
      </c>
      <c r="F67" s="496"/>
      <c r="G67" s="496"/>
      <c r="H67" s="496">
        <v>5000</v>
      </c>
      <c r="I67" s="496"/>
      <c r="J67" s="496"/>
      <c r="K67" s="496">
        <v>5000</v>
      </c>
    </row>
    <row r="69" ht="15" customHeight="1">
      <c r="A69" s="186" t="s">
        <v>974</v>
      </c>
    </row>
    <row r="70" ht="15" customHeight="1">
      <c r="A70" s="186"/>
    </row>
    <row r="71" spans="1:11" ht="15" customHeight="1">
      <c r="A71" s="186" t="s">
        <v>185</v>
      </c>
      <c r="C71" s="188"/>
      <c r="D71" s="188"/>
      <c r="F71" s="188"/>
      <c r="G71" s="188" t="s">
        <v>915</v>
      </c>
      <c r="H71" s="188"/>
      <c r="I71" s="188"/>
      <c r="J71" s="188"/>
      <c r="K71" s="188"/>
    </row>
    <row r="72" spans="1:11" ht="15" customHeight="1">
      <c r="A72" s="186" t="s">
        <v>667</v>
      </c>
      <c r="B72" s="186" t="s">
        <v>916</v>
      </c>
      <c r="C72" s="502" t="s">
        <v>668</v>
      </c>
      <c r="D72" s="186"/>
      <c r="G72" s="502"/>
      <c r="H72" s="186"/>
      <c r="I72" s="502" t="s">
        <v>662</v>
      </c>
      <c r="J72" s="502"/>
      <c r="K72" s="502"/>
    </row>
  </sheetData>
  <sheetProtection/>
  <mergeCells count="7">
    <mergeCell ref="A10:K10"/>
    <mergeCell ref="A13:K13"/>
    <mergeCell ref="A14:A15"/>
    <mergeCell ref="B14:B15"/>
    <mergeCell ref="C14:E14"/>
    <mergeCell ref="F14:H14"/>
    <mergeCell ref="I14:K14"/>
  </mergeCells>
  <printOptions/>
  <pageMargins left="0" right="0" top="0" bottom="0"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admin</cp:lastModifiedBy>
  <cp:lastPrinted>2023-10-04T04:52:42Z</cp:lastPrinted>
  <dcterms:created xsi:type="dcterms:W3CDTF">2004-09-19T06:34:55Z</dcterms:created>
  <dcterms:modified xsi:type="dcterms:W3CDTF">2024-02-15T04:36:18Z</dcterms:modified>
  <cp:category/>
  <cp:version/>
  <cp:contentType/>
  <cp:contentStatus/>
</cp:coreProperties>
</file>